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L:\DDG Zertifizierungen\Fußbehandlungseinrichtungen\Formulare und Richtlinien\Verfahrensbeschreibung\Überarbeitung 2023_MSC\"/>
    </mc:Choice>
  </mc:AlternateContent>
  <bookViews>
    <workbookView xWindow="0" yWindow="0" windowWidth="38400" windowHeight="15675"/>
  </bookViews>
  <sheets>
    <sheet name="Evaluation_obligat" sheetId="1" r:id="rId1"/>
    <sheet name="Auswertung" sheetId="4" state="hidden" r:id="rId2"/>
    <sheet name="DropDown" sheetId="3" state="hidden" r:id="rId3"/>
  </sheets>
  <definedNames>
    <definedName name="Abfrage" localSheetId="0">DropDown!$C$2:$C$4</definedName>
    <definedName name="Bundesland" localSheetId="0">DropDown!$A$1:$A$6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A5" i="4" l="1"/>
  <c r="EC5" i="4"/>
  <c r="DU5" i="4"/>
  <c r="DW5" i="4"/>
  <c r="DV5" i="4"/>
  <c r="CE5" i="4"/>
  <c r="BZ5" i="4"/>
  <c r="CD5" i="4"/>
  <c r="BY5" i="4"/>
  <c r="BM5" i="4"/>
  <c r="BK5" i="4"/>
  <c r="BI5" i="4"/>
  <c r="BJ5" i="4"/>
  <c r="BB5" i="4"/>
  <c r="BD5" i="4"/>
  <c r="AV5" i="4"/>
  <c r="AX5" i="4"/>
  <c r="AU5" i="4"/>
  <c r="H5" i="4"/>
  <c r="G5" i="4"/>
  <c r="F5" i="4"/>
  <c r="B5" i="4" l="1"/>
  <c r="EI5" i="4"/>
  <c r="EH5" i="4"/>
  <c r="EG5" i="4"/>
  <c r="EF5" i="4"/>
  <c r="EE5" i="4"/>
  <c r="ED5" i="4" l="1"/>
  <c r="EB5" i="4"/>
  <c r="DZ5" i="4"/>
  <c r="DY5" i="4"/>
  <c r="DX5" i="4"/>
  <c r="DT5" i="4"/>
  <c r="DS5" i="4"/>
  <c r="DR5" i="4"/>
  <c r="DQ5" i="4"/>
  <c r="DP5" i="4"/>
  <c r="DO5" i="4"/>
  <c r="DN5" i="4"/>
  <c r="DM5" i="4"/>
  <c r="DL5" i="4"/>
  <c r="DK5" i="4"/>
  <c r="DJ5" i="4"/>
  <c r="DI5" i="4"/>
  <c r="DH5" i="4"/>
  <c r="DG5" i="4"/>
  <c r="DF5" i="4"/>
  <c r="DE5" i="4"/>
  <c r="DD5" i="4"/>
  <c r="DC5" i="4"/>
  <c r="DB5" i="4"/>
  <c r="DA5" i="4"/>
  <c r="CZ5" i="4"/>
  <c r="CY5" i="4"/>
  <c r="CX5" i="4"/>
  <c r="CW5" i="4"/>
  <c r="CV5" i="4"/>
  <c r="CT5" i="4"/>
  <c r="CU5" i="4"/>
  <c r="CS5" i="4"/>
  <c r="CR5" i="4"/>
  <c r="CQ5" i="4"/>
  <c r="CP5" i="4"/>
  <c r="CO5" i="4"/>
  <c r="CN5" i="4"/>
  <c r="CM5" i="4"/>
  <c r="CL5" i="4"/>
  <c r="CK5" i="4"/>
  <c r="CJ5" i="4"/>
  <c r="CI5" i="4"/>
  <c r="CH5" i="4"/>
  <c r="CG5" i="4"/>
  <c r="CF5" i="4"/>
  <c r="CC5" i="4"/>
  <c r="CB5" i="4"/>
  <c r="CA5" i="4"/>
  <c r="BX5" i="4"/>
  <c r="BW5" i="4"/>
  <c r="BV5" i="4"/>
  <c r="BR5" i="4"/>
  <c r="BU5" i="4"/>
  <c r="BT5" i="4"/>
  <c r="BS5" i="4"/>
  <c r="BQ5" i="4"/>
  <c r="BP5" i="4"/>
  <c r="BO5" i="4"/>
  <c r="BN5" i="4"/>
  <c r="BL5" i="4"/>
  <c r="BH5" i="4"/>
  <c r="BG5" i="4"/>
  <c r="BF5" i="4"/>
  <c r="BE5" i="4"/>
  <c r="BC5" i="4"/>
  <c r="BA5" i="4"/>
  <c r="AZ5" i="4"/>
  <c r="AY5" i="4"/>
  <c r="AW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 l="1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C5" i="4"/>
  <c r="E5" i="4"/>
  <c r="D5" i="4"/>
  <c r="A5" i="4"/>
  <c r="F6" i="1" l="1"/>
  <c r="F7" i="1" s="1"/>
  <c r="N12" i="1"/>
  <c r="M12" i="1"/>
  <c r="N14" i="1" l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13" i="1"/>
  <c r="N13" i="1" l="1"/>
</calcChain>
</file>

<file path=xl/sharedStrings.xml><?xml version="1.0" encoding="utf-8"?>
<sst xmlns="http://schemas.openxmlformats.org/spreadsheetml/2006/main" count="346" uniqueCount="154">
  <si>
    <t>Bundesland</t>
  </si>
  <si>
    <t>Einschlussbefund</t>
  </si>
  <si>
    <t>Datum Einschluss</t>
  </si>
  <si>
    <t>links</t>
  </si>
  <si>
    <t>rechts</t>
  </si>
  <si>
    <t>Datum Nachuntersuchung</t>
  </si>
  <si>
    <t>Stationäre Aufnahme</t>
  </si>
  <si>
    <t>Tod</t>
  </si>
  <si>
    <t>Berlin</t>
  </si>
  <si>
    <t>Brandenburg</t>
  </si>
  <si>
    <t>Bremen</t>
  </si>
  <si>
    <t>ja</t>
  </si>
  <si>
    <t>nein</t>
  </si>
  <si>
    <t>unbekannt</t>
  </si>
  <si>
    <t>von</t>
  </si>
  <si>
    <t>bis</t>
  </si>
  <si>
    <t>letzter möglicher Tag des Patienteneinschlusses:</t>
  </si>
  <si>
    <t>Beginn Patienteneinschluss:</t>
  </si>
  <si>
    <t>Terminale Niereninsuffizienz/Dialyse</t>
  </si>
  <si>
    <t>Geschlecht</t>
  </si>
  <si>
    <t>Interne Patienten-Kennung</t>
  </si>
  <si>
    <t>laufende Nr.</t>
  </si>
  <si>
    <t>Nachuntersuchung - alle Angaben 6 Monate nach Einschluss</t>
  </si>
  <si>
    <t>Baden-Württemberg</t>
  </si>
  <si>
    <t>Bayern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</si>
  <si>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</si>
  <si>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</si>
  <si>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</si>
  <si>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</si>
  <si>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</si>
  <si>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</si>
  <si>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</si>
  <si>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</si>
  <si>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</si>
  <si>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</si>
  <si>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</si>
  <si>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m</t>
  </si>
  <si>
    <t>w</t>
  </si>
  <si>
    <t>d</t>
  </si>
  <si>
    <t>aktiv (Rötung, Schwellung, Überwärmung)</t>
  </si>
  <si>
    <t>inaktiv ohne Deformierung</t>
  </si>
  <si>
    <t>inaktiv mit Deformierung</t>
  </si>
  <si>
    <t>unklar</t>
  </si>
  <si>
    <t>Charcot</t>
  </si>
  <si>
    <t>Auswahl</t>
  </si>
  <si>
    <t>Ulcus</t>
  </si>
  <si>
    <t>Neu/Erstulcus</t>
  </si>
  <si>
    <t>chronisch &gt;6 Monate</t>
  </si>
  <si>
    <t>rezidiv (nach Abheilung an gleicher Stelle neu aufgetreten)</t>
  </si>
  <si>
    <t>Major</t>
  </si>
  <si>
    <t>Minor</t>
  </si>
  <si>
    <t>Unterschenkel</t>
  </si>
  <si>
    <t>Knie</t>
  </si>
  <si>
    <t>Oberschenkel</t>
  </si>
  <si>
    <t>Zeh/Zehen</t>
  </si>
  <si>
    <t>Strahl (MFK und Zeh)</t>
  </si>
  <si>
    <t>sonstige Amputation</t>
  </si>
  <si>
    <t>Zweitmeinung</t>
  </si>
  <si>
    <t>Bypass</t>
  </si>
  <si>
    <t>Kombinationseingriff</t>
  </si>
  <si>
    <t>Evaluation der Ergebnisqualität</t>
  </si>
  <si>
    <t>Minoramputation</t>
  </si>
  <si>
    <t>Majoramputation</t>
  </si>
  <si>
    <t>Sonstige Fuß-OP</t>
  </si>
  <si>
    <t>ja/nein</t>
  </si>
  <si>
    <r>
      <t xml:space="preserve">Erläuertung </t>
    </r>
    <r>
      <rPr>
        <sz val="8"/>
        <rFont val="Calibri"/>
        <family val="2"/>
        <scheme val="minor"/>
      </rPr>
      <t>(z.B. Abzess-Revision, Sehnentransfer, Tenotomie)</t>
    </r>
  </si>
  <si>
    <t>Stammdaten</t>
  </si>
  <si>
    <t>Charcot Neuro-Osteoarthropathie</t>
  </si>
  <si>
    <t>Tenotomie</t>
  </si>
  <si>
    <t>möglicher Nachuntersuchungzeitraum</t>
  </si>
  <si>
    <r>
      <t xml:space="preserve">Dieses Feld gibt an, über welchen Zeitraum Sie Patient*innen in die Evaluation einschließen können. Die Berechnung erfolgt, sobald Sie in </t>
    </r>
    <r>
      <rPr>
        <b/>
        <sz val="10"/>
        <color theme="9" tint="-0.499984740745262"/>
        <rFont val="Calibri"/>
        <family val="2"/>
        <scheme val="minor"/>
      </rPr>
      <t>Feld F11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das Einschlussdatum für Patient*in-Nr. 1 eingetragen haben.</t>
    </r>
  </si>
  <si>
    <t>Bsp1</t>
  </si>
  <si>
    <t>WagnerArmstrong</t>
  </si>
  <si>
    <t>1A</t>
  </si>
  <si>
    <t>1B</t>
  </si>
  <si>
    <t>1C</t>
  </si>
  <si>
    <t>1D</t>
  </si>
  <si>
    <t>2A</t>
  </si>
  <si>
    <t>3A</t>
  </si>
  <si>
    <t>4A</t>
  </si>
  <si>
    <t>Wagner-Armstrong</t>
  </si>
  <si>
    <t>Alter (Einschluss)</t>
  </si>
  <si>
    <t>2B</t>
  </si>
  <si>
    <t>2C</t>
  </si>
  <si>
    <t>2D</t>
  </si>
  <si>
    <t>3B</t>
  </si>
  <si>
    <t>3C</t>
  </si>
  <si>
    <t>3D</t>
  </si>
  <si>
    <t>4B</t>
  </si>
  <si>
    <t>4C</t>
  </si>
  <si>
    <t>4D</t>
  </si>
  <si>
    <t>Auswertung</t>
  </si>
  <si>
    <t>Einschluss</t>
  </si>
  <si>
    <t>Antragsnummer</t>
  </si>
  <si>
    <t>Anzahl m</t>
  </si>
  <si>
    <t>Anzahl w</t>
  </si>
  <si>
    <t>Antragsnummer*:</t>
  </si>
  <si>
    <t>*wird von der DDG eingetragen</t>
  </si>
  <si>
    <t>Anzahl d</t>
  </si>
  <si>
    <t>Alter</t>
  </si>
  <si>
    <t xml:space="preserve">MW </t>
  </si>
  <si>
    <t>Wagner-Armstrong links</t>
  </si>
  <si>
    <t>Wagner-Armstrong rechts</t>
  </si>
  <si>
    <t>Charcot links</t>
  </si>
  <si>
    <t>Charcot rechts</t>
  </si>
  <si>
    <t>Nachuntersuchung</t>
  </si>
  <si>
    <t>Majoramputation links</t>
  </si>
  <si>
    <t>Majoramputation rechts</t>
  </si>
  <si>
    <t>Minoramputation links</t>
  </si>
  <si>
    <t>Minoramputation rechts</t>
  </si>
  <si>
    <t>Drop out</t>
  </si>
  <si>
    <t>Legende</t>
  </si>
  <si>
    <t>Wager-Klassifikation</t>
  </si>
  <si>
    <t>0 keine Läsion, ggf. Fußdeformation oder Zellulitis</t>
  </si>
  <si>
    <t>1 oberflächliche Ulzeration</t>
  </si>
  <si>
    <t>2 tiefes Ulkus bis zur Gelenkkapsel, zu Sehnen oder Knochen</t>
  </si>
  <si>
    <t>3 tiefes Ulkus mit Abszedierung, Osteomyelitis, Infektion der Gelenkkapsel</t>
  </si>
  <si>
    <t>4 begrenzte Nekrose im Vorfuß- oder Fersenbereich</t>
  </si>
  <si>
    <t>5 Nekrose des gesamten Fußes</t>
  </si>
  <si>
    <t>Die Klassifikation diabetischer Fußläsionen nach Wagner erfolgt nach folgender Systematik:</t>
  </si>
  <si>
    <t>A ohne Infektion oder Ischämie</t>
  </si>
  <si>
    <t>B mit Infektion</t>
  </si>
  <si>
    <t>C mit Ischämie</t>
  </si>
  <si>
    <t>D mit Infektion und Ischämie</t>
  </si>
  <si>
    <t>Die Armstrong-Klassifikation (University of Texas Wound Classification System) ergänzt hierzu das Vorhandensein einer Infektion oder Ischämie mit Buchstaben:</t>
  </si>
  <si>
    <t xml:space="preserve"> Armstrong-Klassifikation</t>
  </si>
  <si>
    <t>Die Charcot Neuro-Osteoarthropathie (CNO) wird klassifiziert in:</t>
  </si>
  <si>
    <t>Amputation</t>
  </si>
  <si>
    <t xml:space="preserve">Zu den Amputationen zählen nur Amputationen, die nach dem Einschluss eines*einer Patient*in in die aktuelle Evaluation vorgenommen wurden. </t>
  </si>
  <si>
    <t>Die Spezifizierung der Amputationen erfolgt nach Lokalisation (siehe Tabelle). Die sonstigen Operationen sollten nach Möglichkeit im Klartext spezifiziert werden.</t>
  </si>
  <si>
    <t>Zu den sonstigen Operationen zählen z.B. Abzess-Revision, Sehnentransfer, Tenotomie.</t>
  </si>
  <si>
    <t>Sonstige Amputationen</t>
  </si>
  <si>
    <t xml:space="preserve">Die interne Patienten-Kennung muss durch die antragstellende Einrichtung definiert werden, </t>
  </si>
  <si>
    <t>um die behandelte Person reanonymisieren zu können (Ziffern, Zahlen oder eine bestehende einrichtungsinterne Kennung).</t>
  </si>
  <si>
    <t>Drop-out</t>
  </si>
  <si>
    <t>aktiv mit Deformierung</t>
  </si>
  <si>
    <t>PLZ</t>
  </si>
  <si>
    <t>keine</t>
  </si>
  <si>
    <t>ohne Intervention</t>
  </si>
  <si>
    <t>PTA/Stent</t>
  </si>
  <si>
    <t>Kombinationseingriff (PTA mit Bypass)</t>
  </si>
  <si>
    <t>Gefäßdarstellung</t>
  </si>
  <si>
    <t>Gefäß-darstellung</t>
  </si>
  <si>
    <t>Niereninsuffizienz</t>
  </si>
  <si>
    <t>Niereninsuff.</t>
  </si>
  <si>
    <t>GFR 15 - 60 ml/min</t>
  </si>
  <si>
    <t>terminale Niereninsuff./Dialyse</t>
  </si>
  <si>
    <t>PLZ der Einrichtung:</t>
  </si>
  <si>
    <t>Lisfranc/Chopart/Syme</t>
  </si>
  <si>
    <r>
      <t>sonstige Amputation (z.B. Exostose, Calcaneus)</t>
    </r>
    <r>
      <rPr>
        <sz val="8"/>
        <color theme="1"/>
        <rFont val="Times New Roman"/>
        <family val="1"/>
      </rPr>
      <t> </t>
    </r>
  </si>
  <si>
    <t>mit PTA/Stent</t>
  </si>
  <si>
    <t>mit Bypass</t>
  </si>
  <si>
    <t>mit Kombinationseingriff (PTA mit Bypass)</t>
  </si>
  <si>
    <t>sonstige Amputation (z.B. Exostose, Calcaneus)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</si>
</sst>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9"/>
      <color theme="1"/>
      <name val="Verdana"/>
      <family val="2"/>
    </font>
    <font>
      <b/>
      <sz val="24"/>
      <color theme="5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 style="medium">
        <color theme="5" tint="-0.249977111117893"/>
      </right>
      <top style="thin">
        <color indexed="64"/>
      </top>
      <bottom style="thin">
        <color indexed="64"/>
      </bottom>
      <diagonal/>
    </border>
    <border>
      <left/>
      <right style="medium">
        <color theme="5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 style="thin">
        <color indexed="64"/>
      </bottom>
      <diagonal/>
    </border>
    <border>
      <left/>
      <right/>
      <top style="medium">
        <color theme="5" tint="-0.249977111117893"/>
      </top>
      <bottom style="thin">
        <color indexed="64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thin">
        <color indexed="64"/>
      </bottom>
      <diagonal/>
    </border>
    <border>
      <left style="medium">
        <color theme="5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77111117893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medium">
        <color theme="5" tint="-0.249977111117893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/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medium">
        <color theme="9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499984740745262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left" wrapText="1"/>
    </xf>
    <xf numFmtId="0" fontId="0" fillId="0" borderId="2" xfId="0" applyBorder="1"/>
    <xf numFmtId="0" fontId="0" fillId="0" borderId="0" xfId="0" applyFill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/>
    <xf numFmtId="0" fontId="7" fillId="0" borderId="3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 applyProtection="1">
      <alignment horizontal="center"/>
      <protection locked="0"/>
    </xf>
    <xf numFmtId="14" fontId="9" fillId="2" borderId="24" xfId="0" applyNumberFormat="1" applyFont="1" applyFill="1" applyBorder="1" applyProtection="1">
      <protection locked="0"/>
    </xf>
    <xf numFmtId="14" fontId="9" fillId="2" borderId="25" xfId="0" applyNumberFormat="1" applyFont="1" applyFill="1" applyBorder="1" applyProtection="1">
      <protection locked="0"/>
    </xf>
    <xf numFmtId="0" fontId="9" fillId="3" borderId="0" xfId="0" applyFont="1" applyFill="1" applyBorder="1"/>
    <xf numFmtId="14" fontId="7" fillId="3" borderId="0" xfId="0" applyNumberFormat="1" applyFont="1" applyFill="1" applyBorder="1"/>
    <xf numFmtId="0" fontId="9" fillId="3" borderId="13" xfId="0" applyFont="1" applyFill="1" applyBorder="1"/>
    <xf numFmtId="0" fontId="9" fillId="3" borderId="15" xfId="0" applyFont="1" applyFill="1" applyBorder="1"/>
    <xf numFmtId="14" fontId="7" fillId="3" borderId="15" xfId="0" applyNumberFormat="1" applyFont="1" applyFill="1" applyBorder="1"/>
    <xf numFmtId="0" fontId="9" fillId="3" borderId="16" xfId="0" applyFont="1" applyFill="1" applyBorder="1"/>
    <xf numFmtId="0" fontId="11" fillId="4" borderId="1" xfId="0" applyFont="1" applyFill="1" applyBorder="1" applyAlignment="1">
      <alignment horizontal="left" wrapText="1"/>
    </xf>
    <xf numFmtId="14" fontId="10" fillId="4" borderId="1" xfId="0" applyNumberFormat="1" applyFont="1" applyFill="1" applyBorder="1"/>
    <xf numFmtId="14" fontId="12" fillId="4" borderId="1" xfId="0" applyNumberFormat="1" applyFont="1" applyFill="1" applyBorder="1"/>
    <xf numFmtId="14" fontId="12" fillId="4" borderId="26" xfId="0" applyNumberFormat="1" applyFont="1" applyFill="1" applyBorder="1"/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14" fontId="14" fillId="2" borderId="24" xfId="0" applyNumberFormat="1" applyFont="1" applyFill="1" applyBorder="1" applyAlignment="1">
      <alignment horizontal="left" wrapText="1"/>
    </xf>
    <xf numFmtId="14" fontId="15" fillId="3" borderId="18" xfId="0" applyNumberFormat="1" applyFont="1" applyFill="1" applyBorder="1" applyAlignment="1" applyProtection="1">
      <alignment horizontal="right"/>
      <protection locked="0"/>
    </xf>
    <xf numFmtId="0" fontId="14" fillId="0" borderId="1" xfId="0" applyFont="1" applyFill="1" applyBorder="1" applyAlignment="1">
      <alignment horizontal="left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26" xfId="0" applyFont="1" applyBorder="1" applyAlignment="1" applyProtection="1">
      <alignment horizontal="left"/>
      <protection locked="0"/>
    </xf>
    <xf numFmtId="1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 applyProtection="1">
      <protection locked="0"/>
    </xf>
    <xf numFmtId="14" fontId="9" fillId="3" borderId="6" xfId="0" applyNumberFormat="1" applyFont="1" applyFill="1" applyBorder="1" applyAlignment="1" applyProtection="1">
      <protection locked="0"/>
    </xf>
    <xf numFmtId="14" fontId="9" fillId="3" borderId="4" xfId="0" applyNumberFormat="1" applyFont="1" applyFill="1" applyBorder="1" applyAlignment="1" applyProtection="1">
      <protection locked="0"/>
    </xf>
    <xf numFmtId="0" fontId="0" fillId="0" borderId="15" xfId="0" applyBorder="1"/>
    <xf numFmtId="14" fontId="9" fillId="3" borderId="31" xfId="0" applyNumberFormat="1" applyFont="1" applyFill="1" applyBorder="1" applyAlignment="1" applyProtection="1">
      <protection locked="0"/>
    </xf>
    <xf numFmtId="0" fontId="7" fillId="0" borderId="29" xfId="0" applyFont="1" applyBorder="1" applyAlignment="1">
      <alignment horizontal="left" wrapText="1"/>
    </xf>
    <xf numFmtId="0" fontId="16" fillId="0" borderId="0" xfId="0" applyFont="1"/>
    <xf numFmtId="0" fontId="6" fillId="0" borderId="0" xfId="0" applyFont="1" applyAlignment="1">
      <alignment horizontal="left" vertical="top"/>
    </xf>
    <xf numFmtId="0" fontId="0" fillId="0" borderId="1" xfId="0" applyBorder="1"/>
    <xf numFmtId="1" fontId="0" fillId="0" borderId="1" xfId="0" applyNumberFormat="1" applyBorder="1"/>
    <xf numFmtId="0" fontId="12" fillId="0" borderId="4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30" xfId="0" applyFont="1" applyBorder="1" applyAlignment="1" applyProtection="1">
      <alignment horizontal="left"/>
      <protection locked="0"/>
    </xf>
    <xf numFmtId="0" fontId="12" fillId="0" borderId="1" xfId="0" applyFont="1" applyFill="1" applyBorder="1" applyAlignment="1" applyProtection="1">
      <alignment horizontal="left"/>
      <protection locked="0"/>
    </xf>
    <xf numFmtId="0" fontId="12" fillId="0" borderId="19" xfId="0" applyFont="1" applyBorder="1" applyAlignment="1" applyProtection="1">
      <alignment horizontal="left"/>
      <protection locked="0"/>
    </xf>
    <xf numFmtId="0" fontId="12" fillId="0" borderId="26" xfId="0" applyFont="1" applyFill="1" applyBorder="1" applyAlignment="1" applyProtection="1">
      <alignment horizontal="left"/>
      <protection locked="0"/>
    </xf>
    <xf numFmtId="0" fontId="12" fillId="0" borderId="27" xfId="0" applyFont="1" applyBorder="1" applyAlignment="1" applyProtection="1">
      <alignment horizontal="left"/>
      <protection locked="0"/>
    </xf>
    <xf numFmtId="14" fontId="14" fillId="3" borderId="8" xfId="0" applyNumberFormat="1" applyFont="1" applyFill="1" applyBorder="1" applyAlignment="1">
      <alignment horizontal="right"/>
    </xf>
    <xf numFmtId="0" fontId="14" fillId="0" borderId="29" xfId="0" applyFont="1" applyBorder="1" applyAlignment="1">
      <alignment horizontal="left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19" fillId="0" borderId="17" xfId="0" applyFont="1" applyBorder="1" applyAlignment="1" applyProtection="1">
      <alignment horizontal="left"/>
      <protection locked="0"/>
    </xf>
    <xf numFmtId="0" fontId="19" fillId="0" borderId="26" xfId="0" applyFont="1" applyBorder="1" applyAlignment="1" applyProtection="1">
      <alignment horizontal="left"/>
      <protection locked="0"/>
    </xf>
    <xf numFmtId="0" fontId="18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8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12" fillId="0" borderId="3" xfId="0" applyFont="1" applyBorder="1" applyAlignment="1" applyProtection="1">
      <alignment horizontal="left"/>
      <protection locked="0"/>
    </xf>
    <xf numFmtId="0" fontId="14" fillId="0" borderId="2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64" fontId="14" fillId="0" borderId="29" xfId="0" applyNumberFormat="1" applyFont="1" applyBorder="1" applyAlignment="1">
      <alignment horizontal="center" vertical="center"/>
    </xf>
    <xf numFmtId="164" fontId="12" fillId="0" borderId="29" xfId="0" applyNumberFormat="1" applyFont="1" applyBorder="1" applyAlignment="1" applyProtection="1">
      <protection locked="0"/>
    </xf>
    <xf numFmtId="0" fontId="0" fillId="0" borderId="0" xfId="0" applyFont="1"/>
    <xf numFmtId="0" fontId="2" fillId="0" borderId="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1" fillId="0" borderId="0" xfId="0" applyFont="1" applyAlignment="1">
      <alignment vertical="center"/>
    </xf>
    <xf numFmtId="0" fontId="12" fillId="0" borderId="33" xfId="0" applyFont="1" applyBorder="1" applyAlignment="1" applyProtection="1">
      <alignment horizontal="left"/>
      <protection locked="0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vertical="top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3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7"/>
  <sheetViews>
    <sheetView tabSelected="1" zoomScaleNormal="100" workbookViewId="0">
      <pane ySplit="11" topLeftCell="A12" activePane="bottomLeft" state="frozen"/>
      <selection pane="bottomLeft" activeCell="B13" sqref="B13"/>
    </sheetView>
  </sheetViews>
  <sheetFormatPr baseColWidth="10" defaultRowHeight="15" x14ac:dyDescent="0.25"/>
  <cols>
    <col min="1" max="1" width="6" style="7" customWidth="1"/>
    <col min="2" max="2" width="9.85546875" customWidth="1"/>
    <col min="3" max="3" width="10.42578125" customWidth="1"/>
    <col min="4" max="4" width="10.140625" customWidth="1"/>
    <col min="5" max="5" width="10.7109375" customWidth="1"/>
    <col min="6" max="6" width="12.140625" customWidth="1"/>
    <col min="7" max="7" width="11.85546875" customWidth="1"/>
    <col min="8" max="8" width="8" customWidth="1"/>
    <col min="9" max="9" width="10.28515625" customWidth="1"/>
    <col min="10" max="11" width="8" customWidth="1"/>
    <col min="12" max="12" width="19" customWidth="1"/>
    <col min="13" max="13" width="12.42578125" customWidth="1"/>
    <col min="14" max="14" width="13" customWidth="1"/>
    <col min="15" max="16" width="10.85546875" style="3" customWidth="1"/>
    <col min="17" max="20" width="7.85546875" customWidth="1"/>
    <col min="21" max="21" width="6.42578125" customWidth="1"/>
    <col min="22" max="22" width="17.85546875" customWidth="1"/>
    <col min="23" max="23" width="9.28515625" customWidth="1"/>
    <col min="24" max="24" width="9.7109375" customWidth="1"/>
    <col min="25" max="25" width="7.85546875" customWidth="1"/>
    <col min="26" max="27" width="8.85546875" customWidth="1"/>
    <col min="28" max="28" width="8.5703125" customWidth="1"/>
    <col min="29" max="59" width="11.42578125" style="8"/>
  </cols>
  <sheetData>
    <row r="1" spans="1:59" ht="31.5" x14ac:dyDescent="0.5">
      <c r="A1" s="86" t="s">
        <v>60</v>
      </c>
      <c r="B1" s="86"/>
      <c r="C1" s="86"/>
      <c r="D1" s="86"/>
      <c r="E1" s="86"/>
      <c r="F1" s="86"/>
      <c r="G1" s="86"/>
      <c r="H1" s="86"/>
      <c r="I1" s="86"/>
    </row>
    <row r="2" spans="1:59" x14ac:dyDescent="0.25">
      <c r="A2" s="104" t="s">
        <v>147</v>
      </c>
      <c r="B2" s="104"/>
      <c r="C2" s="104"/>
      <c r="D2" s="105"/>
      <c r="E2" s="105"/>
      <c r="F2" s="105"/>
    </row>
    <row r="3" spans="1:59" x14ac:dyDescent="0.25">
      <c r="A3" s="104" t="s">
        <v>96</v>
      </c>
      <c r="B3" s="104"/>
      <c r="C3" s="104"/>
      <c r="D3" s="105"/>
      <c r="E3" s="105"/>
      <c r="F3" s="105"/>
    </row>
    <row r="4" spans="1:59" ht="15.75" thickBot="1" x14ac:dyDescent="0.3">
      <c r="A4" s="48" t="s">
        <v>97</v>
      </c>
    </row>
    <row r="5" spans="1:59" ht="50.25" customHeight="1" x14ac:dyDescent="0.25">
      <c r="A5" s="87" t="s">
        <v>70</v>
      </c>
      <c r="B5" s="88"/>
      <c r="C5" s="88"/>
      <c r="D5" s="88"/>
      <c r="E5" s="88"/>
      <c r="F5" s="88"/>
      <c r="G5" s="89"/>
    </row>
    <row r="6" spans="1:59" x14ac:dyDescent="0.25">
      <c r="A6" s="90" t="s">
        <v>17</v>
      </c>
      <c r="B6" s="91"/>
      <c r="C6" s="91"/>
      <c r="D6" s="91"/>
      <c r="E6" s="22"/>
      <c r="F6" s="23">
        <f>F13</f>
        <v>44927</v>
      </c>
      <c r="G6" s="24"/>
    </row>
    <row r="7" spans="1:59" ht="15.75" thickBot="1" x14ac:dyDescent="0.3">
      <c r="A7" s="92" t="s">
        <v>16</v>
      </c>
      <c r="B7" s="93"/>
      <c r="C7" s="93"/>
      <c r="D7" s="93"/>
      <c r="E7" s="25"/>
      <c r="F7" s="26">
        <f>F6+365</f>
        <v>45292</v>
      </c>
      <c r="G7" s="27"/>
    </row>
    <row r="8" spans="1:59" ht="15.75" thickBot="1" x14ac:dyDescent="0.3">
      <c r="A8" s="15"/>
      <c r="B8" s="16"/>
      <c r="C8" s="16"/>
      <c r="D8" s="16"/>
      <c r="E8" s="16"/>
      <c r="F8" s="44"/>
      <c r="G8" s="44"/>
      <c r="H8" s="44"/>
      <c r="I8" s="44"/>
      <c r="J8" s="44"/>
      <c r="K8" s="44"/>
    </row>
    <row r="9" spans="1:59" ht="15.75" customHeight="1" x14ac:dyDescent="0.25">
      <c r="A9" s="78" t="s">
        <v>66</v>
      </c>
      <c r="B9" s="79"/>
      <c r="C9" s="79"/>
      <c r="D9" s="79"/>
      <c r="E9" s="79"/>
      <c r="F9" s="106" t="s">
        <v>1</v>
      </c>
      <c r="G9" s="107"/>
      <c r="H9" s="107"/>
      <c r="I9" s="107"/>
      <c r="J9" s="107"/>
      <c r="K9" s="107"/>
      <c r="L9" s="95" t="s">
        <v>22</v>
      </c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7"/>
    </row>
    <row r="10" spans="1:59" s="1" customFormat="1" ht="30.75" customHeight="1" x14ac:dyDescent="0.25">
      <c r="A10" s="98" t="s">
        <v>21</v>
      </c>
      <c r="B10" s="98" t="s">
        <v>20</v>
      </c>
      <c r="C10" s="98" t="s">
        <v>81</v>
      </c>
      <c r="D10" s="98" t="s">
        <v>19</v>
      </c>
      <c r="E10" s="110" t="s">
        <v>136</v>
      </c>
      <c r="F10" s="100" t="s">
        <v>2</v>
      </c>
      <c r="G10" s="98" t="s">
        <v>143</v>
      </c>
      <c r="H10" s="98" t="s">
        <v>80</v>
      </c>
      <c r="I10" s="98"/>
      <c r="J10" s="98" t="s">
        <v>67</v>
      </c>
      <c r="K10" s="110"/>
      <c r="L10" s="94" t="s">
        <v>5</v>
      </c>
      <c r="M10" s="111" t="s">
        <v>69</v>
      </c>
      <c r="N10" s="112"/>
      <c r="O10" s="101" t="s">
        <v>6</v>
      </c>
      <c r="P10" s="98" t="s">
        <v>142</v>
      </c>
      <c r="Q10" s="98" t="s">
        <v>62</v>
      </c>
      <c r="R10" s="98"/>
      <c r="S10" s="98" t="s">
        <v>61</v>
      </c>
      <c r="T10" s="98"/>
      <c r="U10" s="108" t="s">
        <v>63</v>
      </c>
      <c r="V10" s="109"/>
      <c r="W10" s="98" t="s">
        <v>80</v>
      </c>
      <c r="X10" s="98"/>
      <c r="Y10" s="98" t="s">
        <v>67</v>
      </c>
      <c r="Z10" s="98"/>
      <c r="AA10" s="102" t="s">
        <v>7</v>
      </c>
      <c r="AB10" s="99" t="s">
        <v>134</v>
      </c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</row>
    <row r="11" spans="1:59" s="1" customFormat="1" ht="22.5" customHeight="1" x14ac:dyDescent="0.25">
      <c r="A11" s="98"/>
      <c r="B11" s="98"/>
      <c r="C11" s="98"/>
      <c r="D11" s="98"/>
      <c r="E11" s="110"/>
      <c r="F11" s="100"/>
      <c r="G11" s="98"/>
      <c r="H11" s="11" t="s">
        <v>3</v>
      </c>
      <c r="I11" s="17" t="s">
        <v>4</v>
      </c>
      <c r="J11" s="11" t="s">
        <v>3</v>
      </c>
      <c r="K11" s="46" t="s">
        <v>4</v>
      </c>
      <c r="L11" s="94"/>
      <c r="M11" s="28" t="s">
        <v>14</v>
      </c>
      <c r="N11" s="28" t="s">
        <v>15</v>
      </c>
      <c r="O11" s="101"/>
      <c r="P11" s="98"/>
      <c r="Q11" s="11" t="s">
        <v>3</v>
      </c>
      <c r="R11" s="11" t="s">
        <v>4</v>
      </c>
      <c r="S11" s="11" t="s">
        <v>3</v>
      </c>
      <c r="T11" s="11" t="s">
        <v>4</v>
      </c>
      <c r="U11" s="12" t="s">
        <v>64</v>
      </c>
      <c r="V11" s="32" t="s">
        <v>65</v>
      </c>
      <c r="W11" s="11" t="s">
        <v>3</v>
      </c>
      <c r="X11" s="11" t="s">
        <v>4</v>
      </c>
      <c r="Y11" s="11" t="s">
        <v>3</v>
      </c>
      <c r="Z11" s="11" t="s">
        <v>4</v>
      </c>
      <c r="AA11" s="103"/>
      <c r="AB11" s="9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</row>
    <row r="12" spans="1:59" s="4" customFormat="1" ht="15" customHeight="1" thickBot="1" x14ac:dyDescent="0.3">
      <c r="A12" s="33" t="s">
        <v>71</v>
      </c>
      <c r="B12" s="34">
        <v>12345</v>
      </c>
      <c r="C12" s="40">
        <v>65</v>
      </c>
      <c r="D12" s="34" t="s">
        <v>37</v>
      </c>
      <c r="E12" s="75">
        <v>9365</v>
      </c>
      <c r="F12" s="58">
        <v>44958</v>
      </c>
      <c r="G12" s="33" t="s">
        <v>145</v>
      </c>
      <c r="H12" s="33" t="s">
        <v>86</v>
      </c>
      <c r="I12" s="33" t="s">
        <v>73</v>
      </c>
      <c r="J12" s="33" t="s">
        <v>39</v>
      </c>
      <c r="K12" s="59" t="s">
        <v>12</v>
      </c>
      <c r="L12" s="35">
        <v>45133</v>
      </c>
      <c r="M12" s="29">
        <f>F12+153</f>
        <v>45111</v>
      </c>
      <c r="N12" s="29">
        <f>F12+214</f>
        <v>45172</v>
      </c>
      <c r="O12" s="37" t="s">
        <v>11</v>
      </c>
      <c r="P12" s="33" t="s">
        <v>138</v>
      </c>
      <c r="Q12" s="33" t="s">
        <v>12</v>
      </c>
      <c r="R12" s="33" t="s">
        <v>12</v>
      </c>
      <c r="S12" s="33" t="s">
        <v>54</v>
      </c>
      <c r="T12" s="33" t="s">
        <v>12</v>
      </c>
      <c r="U12" s="33" t="s">
        <v>11</v>
      </c>
      <c r="V12" s="33" t="s">
        <v>68</v>
      </c>
      <c r="W12" s="33" t="s">
        <v>77</v>
      </c>
      <c r="X12" s="33" t="s">
        <v>73</v>
      </c>
      <c r="Y12" s="33" t="s">
        <v>12</v>
      </c>
      <c r="Z12" s="33" t="s">
        <v>12</v>
      </c>
      <c r="AA12" s="33" t="s">
        <v>12</v>
      </c>
      <c r="AB12" s="72" t="s">
        <v>12</v>
      </c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</row>
    <row r="13" spans="1:59" ht="15.75" thickBot="1" x14ac:dyDescent="0.3">
      <c r="A13" s="18">
        <v>1</v>
      </c>
      <c r="B13" s="19"/>
      <c r="C13" s="60"/>
      <c r="D13" s="41"/>
      <c r="E13" s="76"/>
      <c r="F13" s="36">
        <v>44927</v>
      </c>
      <c r="G13" s="51"/>
      <c r="H13" s="61"/>
      <c r="I13" s="61"/>
      <c r="J13" s="52"/>
      <c r="K13" s="53"/>
      <c r="L13" s="20"/>
      <c r="M13" s="30">
        <f>F13+153</f>
        <v>45080</v>
      </c>
      <c r="N13" s="30">
        <f>F13+214</f>
        <v>45141</v>
      </c>
      <c r="O13" s="54"/>
      <c r="P13" s="38"/>
      <c r="Q13" s="38"/>
      <c r="R13" s="38"/>
      <c r="S13" s="38"/>
      <c r="T13" s="38"/>
      <c r="U13" s="38"/>
      <c r="V13" s="38"/>
      <c r="W13" s="61"/>
      <c r="X13" s="61"/>
      <c r="Y13" s="38"/>
      <c r="Z13" s="38"/>
      <c r="AA13" s="71"/>
      <c r="AB13" s="55"/>
    </row>
    <row r="14" spans="1:59" x14ac:dyDescent="0.25">
      <c r="A14" s="18">
        <v>2</v>
      </c>
      <c r="B14" s="19"/>
      <c r="C14" s="60"/>
      <c r="D14" s="41"/>
      <c r="E14" s="76"/>
      <c r="F14" s="42"/>
      <c r="G14" s="51"/>
      <c r="H14" s="61"/>
      <c r="I14" s="61"/>
      <c r="J14" s="52"/>
      <c r="K14" s="53"/>
      <c r="L14" s="20"/>
      <c r="M14" s="30">
        <f t="shared" ref="M14:M42" si="0">F14+153</f>
        <v>153</v>
      </c>
      <c r="N14" s="30">
        <f t="shared" ref="N14:N42" si="1">F14+214</f>
        <v>214</v>
      </c>
      <c r="O14" s="54"/>
      <c r="P14" s="38"/>
      <c r="Q14" s="38"/>
      <c r="R14" s="38"/>
      <c r="S14" s="38"/>
      <c r="T14" s="38"/>
      <c r="U14" s="38"/>
      <c r="V14" s="38"/>
      <c r="W14" s="61"/>
      <c r="X14" s="61"/>
      <c r="Y14" s="38"/>
      <c r="Z14" s="38"/>
      <c r="AA14" s="71"/>
      <c r="AB14" s="55"/>
    </row>
    <row r="15" spans="1:59" x14ac:dyDescent="0.25">
      <c r="A15" s="18">
        <v>3</v>
      </c>
      <c r="B15" s="19"/>
      <c r="C15" s="60"/>
      <c r="D15" s="41"/>
      <c r="E15" s="76"/>
      <c r="F15" s="43"/>
      <c r="G15" s="51"/>
      <c r="H15" s="61"/>
      <c r="I15" s="61"/>
      <c r="J15" s="52"/>
      <c r="K15" s="53"/>
      <c r="L15" s="20"/>
      <c r="M15" s="30">
        <f t="shared" si="0"/>
        <v>153</v>
      </c>
      <c r="N15" s="30">
        <f t="shared" si="1"/>
        <v>214</v>
      </c>
      <c r="O15" s="54"/>
      <c r="P15" s="38"/>
      <c r="Q15" s="38"/>
      <c r="R15" s="38"/>
      <c r="S15" s="38"/>
      <c r="T15" s="38"/>
      <c r="U15" s="38"/>
      <c r="V15" s="38"/>
      <c r="W15" s="61"/>
      <c r="X15" s="61"/>
      <c r="Y15" s="38"/>
      <c r="Z15" s="38"/>
      <c r="AA15" s="71"/>
      <c r="AB15" s="55"/>
    </row>
    <row r="16" spans="1:59" x14ac:dyDescent="0.25">
      <c r="A16" s="18">
        <v>4</v>
      </c>
      <c r="B16" s="19"/>
      <c r="C16" s="60"/>
      <c r="D16" s="41"/>
      <c r="E16" s="76"/>
      <c r="F16" s="43"/>
      <c r="G16" s="51"/>
      <c r="H16" s="61"/>
      <c r="I16" s="61"/>
      <c r="J16" s="52"/>
      <c r="K16" s="53"/>
      <c r="L16" s="20"/>
      <c r="M16" s="30">
        <f t="shared" si="0"/>
        <v>153</v>
      </c>
      <c r="N16" s="30">
        <f t="shared" si="1"/>
        <v>214</v>
      </c>
      <c r="O16" s="54"/>
      <c r="P16" s="38"/>
      <c r="Q16" s="38"/>
      <c r="R16" s="38"/>
      <c r="S16" s="38"/>
      <c r="T16" s="38"/>
      <c r="U16" s="38"/>
      <c r="V16" s="38"/>
      <c r="W16" s="61"/>
      <c r="X16" s="61"/>
      <c r="Y16" s="38"/>
      <c r="Z16" s="38"/>
      <c r="AA16" s="71"/>
      <c r="AB16" s="55"/>
    </row>
    <row r="17" spans="1:28" x14ac:dyDescent="0.25">
      <c r="A17" s="18">
        <v>5</v>
      </c>
      <c r="B17" s="19"/>
      <c r="C17" s="60"/>
      <c r="D17" s="41"/>
      <c r="E17" s="76"/>
      <c r="F17" s="43"/>
      <c r="G17" s="51"/>
      <c r="H17" s="61"/>
      <c r="I17" s="61"/>
      <c r="J17" s="52"/>
      <c r="K17" s="53"/>
      <c r="L17" s="20"/>
      <c r="M17" s="30">
        <f t="shared" si="0"/>
        <v>153</v>
      </c>
      <c r="N17" s="30">
        <f t="shared" si="1"/>
        <v>214</v>
      </c>
      <c r="O17" s="54"/>
      <c r="P17" s="38"/>
      <c r="Q17" s="38"/>
      <c r="R17" s="38"/>
      <c r="S17" s="38"/>
      <c r="T17" s="38"/>
      <c r="U17" s="38"/>
      <c r="V17" s="38"/>
      <c r="W17" s="61"/>
      <c r="X17" s="61"/>
      <c r="Y17" s="38"/>
      <c r="Z17" s="38"/>
      <c r="AA17" s="71"/>
      <c r="AB17" s="55"/>
    </row>
    <row r="18" spans="1:28" x14ac:dyDescent="0.25">
      <c r="A18" s="18">
        <v>6</v>
      </c>
      <c r="B18" s="19"/>
      <c r="C18" s="60"/>
      <c r="D18" s="41"/>
      <c r="E18" s="76"/>
      <c r="F18" s="43"/>
      <c r="G18" s="51"/>
      <c r="H18" s="61"/>
      <c r="I18" s="61"/>
      <c r="J18" s="52"/>
      <c r="K18" s="53"/>
      <c r="L18" s="20"/>
      <c r="M18" s="30">
        <f t="shared" si="0"/>
        <v>153</v>
      </c>
      <c r="N18" s="30">
        <f t="shared" si="1"/>
        <v>214</v>
      </c>
      <c r="O18" s="54"/>
      <c r="P18" s="38"/>
      <c r="Q18" s="38"/>
      <c r="R18" s="38"/>
      <c r="S18" s="38"/>
      <c r="T18" s="38"/>
      <c r="U18" s="38"/>
      <c r="V18" s="38"/>
      <c r="W18" s="61"/>
      <c r="X18" s="61"/>
      <c r="Y18" s="38"/>
      <c r="Z18" s="38"/>
      <c r="AA18" s="71"/>
      <c r="AB18" s="55"/>
    </row>
    <row r="19" spans="1:28" x14ac:dyDescent="0.25">
      <c r="A19" s="18">
        <v>7</v>
      </c>
      <c r="B19" s="19"/>
      <c r="C19" s="60"/>
      <c r="D19" s="41"/>
      <c r="E19" s="76"/>
      <c r="F19" s="43"/>
      <c r="G19" s="51"/>
      <c r="H19" s="61"/>
      <c r="I19" s="61"/>
      <c r="J19" s="52"/>
      <c r="K19" s="53"/>
      <c r="L19" s="20"/>
      <c r="M19" s="30">
        <f t="shared" si="0"/>
        <v>153</v>
      </c>
      <c r="N19" s="30">
        <f t="shared" si="1"/>
        <v>214</v>
      </c>
      <c r="O19" s="54"/>
      <c r="P19" s="38"/>
      <c r="Q19" s="38"/>
      <c r="R19" s="38"/>
      <c r="S19" s="38"/>
      <c r="T19" s="38"/>
      <c r="U19" s="38"/>
      <c r="V19" s="38"/>
      <c r="W19" s="61"/>
      <c r="X19" s="61"/>
      <c r="Y19" s="38"/>
      <c r="Z19" s="38"/>
      <c r="AA19" s="71"/>
      <c r="AB19" s="55"/>
    </row>
    <row r="20" spans="1:28" x14ac:dyDescent="0.25">
      <c r="A20" s="18">
        <v>8</v>
      </c>
      <c r="B20" s="19"/>
      <c r="C20" s="60"/>
      <c r="D20" s="41"/>
      <c r="E20" s="76"/>
      <c r="F20" s="43"/>
      <c r="G20" s="51"/>
      <c r="H20" s="61"/>
      <c r="I20" s="61"/>
      <c r="J20" s="52"/>
      <c r="K20" s="53"/>
      <c r="L20" s="20"/>
      <c r="M20" s="30">
        <f t="shared" si="0"/>
        <v>153</v>
      </c>
      <c r="N20" s="30">
        <f t="shared" si="1"/>
        <v>214</v>
      </c>
      <c r="O20" s="54"/>
      <c r="P20" s="38"/>
      <c r="Q20" s="38"/>
      <c r="R20" s="38"/>
      <c r="S20" s="38"/>
      <c r="T20" s="38"/>
      <c r="U20" s="38"/>
      <c r="V20" s="38"/>
      <c r="W20" s="61"/>
      <c r="X20" s="61"/>
      <c r="Y20" s="38"/>
      <c r="Z20" s="38"/>
      <c r="AA20" s="71"/>
      <c r="AB20" s="55"/>
    </row>
    <row r="21" spans="1:28" x14ac:dyDescent="0.25">
      <c r="A21" s="18">
        <v>9</v>
      </c>
      <c r="B21" s="19"/>
      <c r="C21" s="60"/>
      <c r="D21" s="41"/>
      <c r="E21" s="76"/>
      <c r="F21" s="43"/>
      <c r="G21" s="51"/>
      <c r="H21" s="61"/>
      <c r="I21" s="61"/>
      <c r="J21" s="52"/>
      <c r="K21" s="53"/>
      <c r="L21" s="20"/>
      <c r="M21" s="30">
        <f t="shared" si="0"/>
        <v>153</v>
      </c>
      <c r="N21" s="30">
        <f t="shared" si="1"/>
        <v>214</v>
      </c>
      <c r="O21" s="54"/>
      <c r="P21" s="38"/>
      <c r="Q21" s="38"/>
      <c r="R21" s="38"/>
      <c r="S21" s="38"/>
      <c r="T21" s="38"/>
      <c r="U21" s="38"/>
      <c r="V21" s="38"/>
      <c r="W21" s="61"/>
      <c r="X21" s="61"/>
      <c r="Y21" s="38"/>
      <c r="Z21" s="38"/>
      <c r="AA21" s="71"/>
      <c r="AB21" s="55"/>
    </row>
    <row r="22" spans="1:28" x14ac:dyDescent="0.25">
      <c r="A22" s="18">
        <v>10</v>
      </c>
      <c r="B22" s="19"/>
      <c r="C22" s="60"/>
      <c r="D22" s="41"/>
      <c r="E22" s="76"/>
      <c r="F22" s="43"/>
      <c r="G22" s="51"/>
      <c r="H22" s="61"/>
      <c r="I22" s="61"/>
      <c r="J22" s="52"/>
      <c r="K22" s="53"/>
      <c r="L22" s="20"/>
      <c r="M22" s="30">
        <f t="shared" si="0"/>
        <v>153</v>
      </c>
      <c r="N22" s="30">
        <f t="shared" si="1"/>
        <v>214</v>
      </c>
      <c r="O22" s="54"/>
      <c r="P22" s="38"/>
      <c r="Q22" s="38"/>
      <c r="R22" s="38"/>
      <c r="S22" s="38"/>
      <c r="T22" s="38"/>
      <c r="U22" s="38"/>
      <c r="V22" s="38"/>
      <c r="W22" s="61"/>
      <c r="X22" s="61"/>
      <c r="Y22" s="38"/>
      <c r="Z22" s="38"/>
      <c r="AA22" s="71"/>
      <c r="AB22" s="55"/>
    </row>
    <row r="23" spans="1:28" x14ac:dyDescent="0.25">
      <c r="A23" s="18">
        <v>11</v>
      </c>
      <c r="B23" s="19"/>
      <c r="C23" s="60"/>
      <c r="D23" s="41"/>
      <c r="E23" s="76"/>
      <c r="F23" s="43"/>
      <c r="G23" s="51"/>
      <c r="H23" s="61"/>
      <c r="I23" s="61"/>
      <c r="J23" s="52"/>
      <c r="K23" s="53"/>
      <c r="L23" s="20"/>
      <c r="M23" s="30">
        <f t="shared" si="0"/>
        <v>153</v>
      </c>
      <c r="N23" s="30">
        <f t="shared" si="1"/>
        <v>214</v>
      </c>
      <c r="O23" s="54"/>
      <c r="P23" s="38"/>
      <c r="Q23" s="38"/>
      <c r="R23" s="38"/>
      <c r="S23" s="38"/>
      <c r="T23" s="38"/>
      <c r="U23" s="38"/>
      <c r="V23" s="38"/>
      <c r="W23" s="61"/>
      <c r="X23" s="61"/>
      <c r="Y23" s="38"/>
      <c r="Z23" s="38"/>
      <c r="AA23" s="71"/>
      <c r="AB23" s="55"/>
    </row>
    <row r="24" spans="1:28" x14ac:dyDescent="0.25">
      <c r="A24" s="18">
        <v>12</v>
      </c>
      <c r="B24" s="19"/>
      <c r="C24" s="60"/>
      <c r="D24" s="41"/>
      <c r="E24" s="76"/>
      <c r="F24" s="43"/>
      <c r="G24" s="51"/>
      <c r="H24" s="61"/>
      <c r="I24" s="61"/>
      <c r="J24" s="52"/>
      <c r="K24" s="53"/>
      <c r="L24" s="20"/>
      <c r="M24" s="30">
        <f t="shared" si="0"/>
        <v>153</v>
      </c>
      <c r="N24" s="30">
        <f t="shared" si="1"/>
        <v>214</v>
      </c>
      <c r="O24" s="54"/>
      <c r="P24" s="38"/>
      <c r="Q24" s="38"/>
      <c r="R24" s="38"/>
      <c r="S24" s="38"/>
      <c r="T24" s="38"/>
      <c r="U24" s="38"/>
      <c r="V24" s="38"/>
      <c r="W24" s="61"/>
      <c r="X24" s="61"/>
      <c r="Y24" s="38"/>
      <c r="Z24" s="38"/>
      <c r="AA24" s="71"/>
      <c r="AB24" s="55"/>
    </row>
    <row r="25" spans="1:28" x14ac:dyDescent="0.25">
      <c r="A25" s="18">
        <v>13</v>
      </c>
      <c r="B25" s="19"/>
      <c r="C25" s="60"/>
      <c r="D25" s="41"/>
      <c r="E25" s="76"/>
      <c r="F25" s="43"/>
      <c r="G25" s="51"/>
      <c r="H25" s="61"/>
      <c r="I25" s="61"/>
      <c r="J25" s="52"/>
      <c r="K25" s="53"/>
      <c r="L25" s="20"/>
      <c r="M25" s="30">
        <f t="shared" si="0"/>
        <v>153</v>
      </c>
      <c r="N25" s="30">
        <f t="shared" si="1"/>
        <v>214</v>
      </c>
      <c r="O25" s="54"/>
      <c r="P25" s="38"/>
      <c r="Q25" s="38"/>
      <c r="R25" s="38"/>
      <c r="S25" s="38"/>
      <c r="T25" s="38"/>
      <c r="U25" s="38"/>
      <c r="V25" s="38"/>
      <c r="W25" s="61"/>
      <c r="X25" s="61"/>
      <c r="Y25" s="38"/>
      <c r="Z25" s="38"/>
      <c r="AA25" s="71"/>
      <c r="AB25" s="55"/>
    </row>
    <row r="26" spans="1:28" x14ac:dyDescent="0.25">
      <c r="A26" s="18">
        <v>14</v>
      </c>
      <c r="B26" s="19"/>
      <c r="C26" s="60"/>
      <c r="D26" s="41"/>
      <c r="E26" s="76"/>
      <c r="F26" s="43"/>
      <c r="G26" s="51"/>
      <c r="H26" s="61"/>
      <c r="I26" s="61"/>
      <c r="J26" s="52"/>
      <c r="K26" s="53"/>
      <c r="L26" s="20"/>
      <c r="M26" s="30">
        <f t="shared" si="0"/>
        <v>153</v>
      </c>
      <c r="N26" s="30">
        <f t="shared" si="1"/>
        <v>214</v>
      </c>
      <c r="O26" s="54"/>
      <c r="P26" s="38"/>
      <c r="Q26" s="38"/>
      <c r="R26" s="38"/>
      <c r="S26" s="38"/>
      <c r="T26" s="38"/>
      <c r="U26" s="38"/>
      <c r="V26" s="38"/>
      <c r="W26" s="61"/>
      <c r="X26" s="61"/>
      <c r="Y26" s="38"/>
      <c r="Z26" s="38"/>
      <c r="AA26" s="71"/>
      <c r="AB26" s="55"/>
    </row>
    <row r="27" spans="1:28" x14ac:dyDescent="0.25">
      <c r="A27" s="18">
        <v>15</v>
      </c>
      <c r="B27" s="19"/>
      <c r="C27" s="60"/>
      <c r="D27" s="41"/>
      <c r="E27" s="76"/>
      <c r="F27" s="43"/>
      <c r="G27" s="51"/>
      <c r="H27" s="61"/>
      <c r="I27" s="61"/>
      <c r="J27" s="52"/>
      <c r="K27" s="53"/>
      <c r="L27" s="20"/>
      <c r="M27" s="30">
        <f t="shared" si="0"/>
        <v>153</v>
      </c>
      <c r="N27" s="30">
        <f t="shared" si="1"/>
        <v>214</v>
      </c>
      <c r="O27" s="54"/>
      <c r="P27" s="38"/>
      <c r="Q27" s="38"/>
      <c r="R27" s="38"/>
      <c r="S27" s="38"/>
      <c r="T27" s="38"/>
      <c r="U27" s="38"/>
      <c r="V27" s="38"/>
      <c r="W27" s="61"/>
      <c r="X27" s="61"/>
      <c r="Y27" s="38"/>
      <c r="Z27" s="38"/>
      <c r="AA27" s="71"/>
      <c r="AB27" s="55"/>
    </row>
    <row r="28" spans="1:28" x14ac:dyDescent="0.25">
      <c r="A28" s="18">
        <v>16</v>
      </c>
      <c r="B28" s="19"/>
      <c r="C28" s="60"/>
      <c r="D28" s="41"/>
      <c r="E28" s="76"/>
      <c r="F28" s="43"/>
      <c r="G28" s="51"/>
      <c r="H28" s="61"/>
      <c r="I28" s="61"/>
      <c r="J28" s="52"/>
      <c r="K28" s="53"/>
      <c r="L28" s="20"/>
      <c r="M28" s="30">
        <f t="shared" si="0"/>
        <v>153</v>
      </c>
      <c r="N28" s="30">
        <f t="shared" si="1"/>
        <v>214</v>
      </c>
      <c r="O28" s="54"/>
      <c r="P28" s="38"/>
      <c r="Q28" s="38"/>
      <c r="R28" s="38"/>
      <c r="S28" s="38"/>
      <c r="T28" s="38"/>
      <c r="U28" s="38"/>
      <c r="V28" s="38"/>
      <c r="W28" s="61"/>
      <c r="X28" s="61"/>
      <c r="Y28" s="38"/>
      <c r="Z28" s="38"/>
      <c r="AA28" s="71"/>
      <c r="AB28" s="55"/>
    </row>
    <row r="29" spans="1:28" x14ac:dyDescent="0.25">
      <c r="A29" s="18">
        <v>17</v>
      </c>
      <c r="B29" s="19"/>
      <c r="C29" s="60"/>
      <c r="D29" s="41"/>
      <c r="E29" s="76"/>
      <c r="F29" s="43"/>
      <c r="G29" s="51"/>
      <c r="H29" s="61"/>
      <c r="I29" s="61"/>
      <c r="J29" s="52"/>
      <c r="K29" s="53"/>
      <c r="L29" s="20"/>
      <c r="M29" s="30">
        <f t="shared" si="0"/>
        <v>153</v>
      </c>
      <c r="N29" s="30">
        <f t="shared" si="1"/>
        <v>214</v>
      </c>
      <c r="O29" s="54"/>
      <c r="P29" s="38"/>
      <c r="Q29" s="38"/>
      <c r="R29" s="38"/>
      <c r="S29" s="38"/>
      <c r="T29" s="38"/>
      <c r="U29" s="38"/>
      <c r="V29" s="38"/>
      <c r="W29" s="61"/>
      <c r="X29" s="61"/>
      <c r="Y29" s="38"/>
      <c r="Z29" s="38"/>
      <c r="AA29" s="71"/>
      <c r="AB29" s="55"/>
    </row>
    <row r="30" spans="1:28" x14ac:dyDescent="0.25">
      <c r="A30" s="18">
        <v>18</v>
      </c>
      <c r="B30" s="19"/>
      <c r="C30" s="60"/>
      <c r="D30" s="41"/>
      <c r="E30" s="76"/>
      <c r="F30" s="43"/>
      <c r="G30" s="51"/>
      <c r="H30" s="61"/>
      <c r="I30" s="61"/>
      <c r="J30" s="52"/>
      <c r="K30" s="53"/>
      <c r="L30" s="20"/>
      <c r="M30" s="30">
        <f t="shared" si="0"/>
        <v>153</v>
      </c>
      <c r="N30" s="30">
        <f t="shared" si="1"/>
        <v>214</v>
      </c>
      <c r="O30" s="54"/>
      <c r="P30" s="38"/>
      <c r="Q30" s="38"/>
      <c r="R30" s="38"/>
      <c r="S30" s="38"/>
      <c r="T30" s="38"/>
      <c r="U30" s="38"/>
      <c r="V30" s="38"/>
      <c r="W30" s="61"/>
      <c r="X30" s="61"/>
      <c r="Y30" s="38"/>
      <c r="Z30" s="38"/>
      <c r="AA30" s="71"/>
      <c r="AB30" s="55"/>
    </row>
    <row r="31" spans="1:28" x14ac:dyDescent="0.25">
      <c r="A31" s="18">
        <v>19</v>
      </c>
      <c r="B31" s="19"/>
      <c r="C31" s="60"/>
      <c r="D31" s="41"/>
      <c r="E31" s="76"/>
      <c r="F31" s="43"/>
      <c r="G31" s="51"/>
      <c r="H31" s="61"/>
      <c r="I31" s="61"/>
      <c r="J31" s="52"/>
      <c r="K31" s="53"/>
      <c r="L31" s="20"/>
      <c r="M31" s="30">
        <f t="shared" si="0"/>
        <v>153</v>
      </c>
      <c r="N31" s="30">
        <f t="shared" si="1"/>
        <v>214</v>
      </c>
      <c r="O31" s="54"/>
      <c r="P31" s="38"/>
      <c r="Q31" s="38"/>
      <c r="R31" s="38"/>
      <c r="S31" s="38"/>
      <c r="T31" s="38"/>
      <c r="U31" s="38"/>
      <c r="V31" s="38"/>
      <c r="W31" s="61"/>
      <c r="X31" s="61"/>
      <c r="Y31" s="38"/>
      <c r="Z31" s="38"/>
      <c r="AA31" s="71"/>
      <c r="AB31" s="55"/>
    </row>
    <row r="32" spans="1:28" x14ac:dyDescent="0.25">
      <c r="A32" s="18">
        <v>20</v>
      </c>
      <c r="B32" s="19"/>
      <c r="C32" s="60"/>
      <c r="D32" s="41"/>
      <c r="E32" s="76"/>
      <c r="F32" s="43"/>
      <c r="G32" s="51"/>
      <c r="H32" s="61"/>
      <c r="I32" s="61"/>
      <c r="J32" s="52"/>
      <c r="K32" s="53"/>
      <c r="L32" s="20"/>
      <c r="M32" s="30">
        <f t="shared" si="0"/>
        <v>153</v>
      </c>
      <c r="N32" s="30">
        <f t="shared" si="1"/>
        <v>214</v>
      </c>
      <c r="O32" s="54"/>
      <c r="P32" s="38"/>
      <c r="Q32" s="38"/>
      <c r="R32" s="38"/>
      <c r="S32" s="38"/>
      <c r="T32" s="38"/>
      <c r="U32" s="38"/>
      <c r="V32" s="38"/>
      <c r="W32" s="61"/>
      <c r="X32" s="61"/>
      <c r="Y32" s="38"/>
      <c r="Z32" s="38"/>
      <c r="AA32" s="71"/>
      <c r="AB32" s="55"/>
    </row>
    <row r="33" spans="1:59" x14ac:dyDescent="0.25">
      <c r="A33" s="18">
        <v>21</v>
      </c>
      <c r="B33" s="19"/>
      <c r="C33" s="60"/>
      <c r="D33" s="41"/>
      <c r="E33" s="76"/>
      <c r="F33" s="43"/>
      <c r="G33" s="51"/>
      <c r="H33" s="61"/>
      <c r="I33" s="61"/>
      <c r="J33" s="52"/>
      <c r="K33" s="53"/>
      <c r="L33" s="20"/>
      <c r="M33" s="30">
        <f t="shared" si="0"/>
        <v>153</v>
      </c>
      <c r="N33" s="30">
        <f t="shared" si="1"/>
        <v>214</v>
      </c>
      <c r="O33" s="54"/>
      <c r="P33" s="38"/>
      <c r="Q33" s="38"/>
      <c r="R33" s="38"/>
      <c r="S33" s="38"/>
      <c r="T33" s="38"/>
      <c r="U33" s="38"/>
      <c r="V33" s="38"/>
      <c r="W33" s="61"/>
      <c r="X33" s="61"/>
      <c r="Y33" s="38"/>
      <c r="Z33" s="38"/>
      <c r="AA33" s="71"/>
      <c r="AB33" s="55"/>
    </row>
    <row r="34" spans="1:59" x14ac:dyDescent="0.25">
      <c r="A34" s="18">
        <v>22</v>
      </c>
      <c r="B34" s="19"/>
      <c r="C34" s="60"/>
      <c r="D34" s="41"/>
      <c r="E34" s="76"/>
      <c r="F34" s="43"/>
      <c r="G34" s="51"/>
      <c r="H34" s="61"/>
      <c r="I34" s="61"/>
      <c r="J34" s="52"/>
      <c r="K34" s="53"/>
      <c r="L34" s="20"/>
      <c r="M34" s="30">
        <f t="shared" si="0"/>
        <v>153</v>
      </c>
      <c r="N34" s="30">
        <f t="shared" si="1"/>
        <v>214</v>
      </c>
      <c r="O34" s="54"/>
      <c r="P34" s="38"/>
      <c r="Q34" s="38"/>
      <c r="R34" s="38"/>
      <c r="S34" s="38"/>
      <c r="T34" s="38"/>
      <c r="U34" s="38"/>
      <c r="V34" s="38"/>
      <c r="W34" s="61"/>
      <c r="X34" s="61"/>
      <c r="Y34" s="38"/>
      <c r="Z34" s="38"/>
      <c r="AA34" s="71"/>
      <c r="AB34" s="55"/>
    </row>
    <row r="35" spans="1:59" x14ac:dyDescent="0.25">
      <c r="A35" s="18">
        <v>23</v>
      </c>
      <c r="B35" s="19"/>
      <c r="C35" s="60"/>
      <c r="D35" s="41"/>
      <c r="E35" s="76"/>
      <c r="F35" s="43"/>
      <c r="G35" s="51"/>
      <c r="H35" s="61"/>
      <c r="I35" s="61"/>
      <c r="J35" s="52"/>
      <c r="K35" s="53"/>
      <c r="L35" s="20"/>
      <c r="M35" s="30">
        <f t="shared" si="0"/>
        <v>153</v>
      </c>
      <c r="N35" s="30">
        <f t="shared" si="1"/>
        <v>214</v>
      </c>
      <c r="O35" s="54"/>
      <c r="P35" s="38"/>
      <c r="Q35" s="38"/>
      <c r="R35" s="38"/>
      <c r="S35" s="38"/>
      <c r="T35" s="38"/>
      <c r="U35" s="38"/>
      <c r="V35" s="38"/>
      <c r="W35" s="61"/>
      <c r="X35" s="61"/>
      <c r="Y35" s="38"/>
      <c r="Z35" s="38"/>
      <c r="AA35" s="71"/>
      <c r="AB35" s="55"/>
    </row>
    <row r="36" spans="1:59" x14ac:dyDescent="0.25">
      <c r="A36" s="18">
        <v>24</v>
      </c>
      <c r="B36" s="19"/>
      <c r="C36" s="60"/>
      <c r="D36" s="41"/>
      <c r="E36" s="76"/>
      <c r="F36" s="43"/>
      <c r="G36" s="51"/>
      <c r="H36" s="61"/>
      <c r="I36" s="61"/>
      <c r="J36" s="52"/>
      <c r="K36" s="53"/>
      <c r="L36" s="20"/>
      <c r="M36" s="30">
        <f t="shared" si="0"/>
        <v>153</v>
      </c>
      <c r="N36" s="30">
        <f t="shared" si="1"/>
        <v>214</v>
      </c>
      <c r="O36" s="54"/>
      <c r="P36" s="38"/>
      <c r="Q36" s="38"/>
      <c r="R36" s="38"/>
      <c r="S36" s="38"/>
      <c r="T36" s="38"/>
      <c r="U36" s="38"/>
      <c r="V36" s="38"/>
      <c r="W36" s="61"/>
      <c r="X36" s="61"/>
      <c r="Y36" s="38"/>
      <c r="Z36" s="38"/>
      <c r="AA36" s="71"/>
      <c r="AB36" s="55"/>
    </row>
    <row r="37" spans="1:59" x14ac:dyDescent="0.25">
      <c r="A37" s="18">
        <v>25</v>
      </c>
      <c r="B37" s="19"/>
      <c r="C37" s="60"/>
      <c r="D37" s="41"/>
      <c r="E37" s="76"/>
      <c r="F37" s="43"/>
      <c r="G37" s="51"/>
      <c r="H37" s="61"/>
      <c r="I37" s="61"/>
      <c r="J37" s="52"/>
      <c r="K37" s="53"/>
      <c r="L37" s="20"/>
      <c r="M37" s="30">
        <f t="shared" si="0"/>
        <v>153</v>
      </c>
      <c r="N37" s="30">
        <f t="shared" si="1"/>
        <v>214</v>
      </c>
      <c r="O37" s="54"/>
      <c r="P37" s="38"/>
      <c r="Q37" s="38"/>
      <c r="R37" s="38"/>
      <c r="S37" s="38"/>
      <c r="T37" s="38"/>
      <c r="U37" s="38"/>
      <c r="V37" s="38"/>
      <c r="W37" s="61"/>
      <c r="X37" s="61"/>
      <c r="Y37" s="38"/>
      <c r="Z37" s="38"/>
      <c r="AA37" s="71"/>
      <c r="AB37" s="55"/>
    </row>
    <row r="38" spans="1:59" x14ac:dyDescent="0.25">
      <c r="A38" s="18">
        <v>26</v>
      </c>
      <c r="B38" s="19"/>
      <c r="C38" s="60"/>
      <c r="D38" s="41"/>
      <c r="E38" s="76"/>
      <c r="F38" s="43"/>
      <c r="G38" s="51"/>
      <c r="H38" s="61"/>
      <c r="I38" s="61"/>
      <c r="J38" s="52"/>
      <c r="K38" s="53"/>
      <c r="L38" s="20"/>
      <c r="M38" s="30">
        <f t="shared" si="0"/>
        <v>153</v>
      </c>
      <c r="N38" s="30">
        <f t="shared" si="1"/>
        <v>214</v>
      </c>
      <c r="O38" s="54"/>
      <c r="P38" s="38"/>
      <c r="Q38" s="38"/>
      <c r="R38" s="38"/>
      <c r="S38" s="38"/>
      <c r="T38" s="38"/>
      <c r="U38" s="38"/>
      <c r="V38" s="38"/>
      <c r="W38" s="61"/>
      <c r="X38" s="61"/>
      <c r="Y38" s="38"/>
      <c r="Z38" s="38"/>
      <c r="AA38" s="71"/>
      <c r="AB38" s="55"/>
    </row>
    <row r="39" spans="1:59" x14ac:dyDescent="0.25">
      <c r="A39" s="18">
        <v>27</v>
      </c>
      <c r="B39" s="19"/>
      <c r="C39" s="60"/>
      <c r="D39" s="41"/>
      <c r="E39" s="76"/>
      <c r="F39" s="43"/>
      <c r="G39" s="51"/>
      <c r="H39" s="61"/>
      <c r="I39" s="61"/>
      <c r="J39" s="52"/>
      <c r="K39" s="53"/>
      <c r="L39" s="20"/>
      <c r="M39" s="30">
        <f t="shared" si="0"/>
        <v>153</v>
      </c>
      <c r="N39" s="30">
        <f t="shared" si="1"/>
        <v>214</v>
      </c>
      <c r="O39" s="54"/>
      <c r="P39" s="38"/>
      <c r="Q39" s="38"/>
      <c r="R39" s="38"/>
      <c r="S39" s="38"/>
      <c r="T39" s="38"/>
      <c r="U39" s="38"/>
      <c r="V39" s="38"/>
      <c r="W39" s="61"/>
      <c r="X39" s="61"/>
      <c r="Y39" s="38"/>
      <c r="Z39" s="38"/>
      <c r="AA39" s="71"/>
      <c r="AB39" s="55"/>
    </row>
    <row r="40" spans="1:59" x14ac:dyDescent="0.25">
      <c r="A40" s="18">
        <v>28</v>
      </c>
      <c r="B40" s="19"/>
      <c r="C40" s="60"/>
      <c r="D40" s="41"/>
      <c r="E40" s="76"/>
      <c r="F40" s="43"/>
      <c r="G40" s="51"/>
      <c r="H40" s="61"/>
      <c r="I40" s="61"/>
      <c r="J40" s="52"/>
      <c r="K40" s="53"/>
      <c r="L40" s="20"/>
      <c r="M40" s="30">
        <f t="shared" si="0"/>
        <v>153</v>
      </c>
      <c r="N40" s="30">
        <f t="shared" si="1"/>
        <v>214</v>
      </c>
      <c r="O40" s="54"/>
      <c r="P40" s="38"/>
      <c r="Q40" s="38"/>
      <c r="R40" s="38"/>
      <c r="S40" s="38"/>
      <c r="T40" s="38"/>
      <c r="U40" s="38"/>
      <c r="V40" s="38"/>
      <c r="W40" s="61"/>
      <c r="X40" s="61"/>
      <c r="Y40" s="38"/>
      <c r="Z40" s="38"/>
      <c r="AA40" s="71"/>
      <c r="AB40" s="55"/>
    </row>
    <row r="41" spans="1:59" x14ac:dyDescent="0.25">
      <c r="A41" s="18">
        <v>29</v>
      </c>
      <c r="B41" s="19"/>
      <c r="C41" s="60"/>
      <c r="D41" s="41"/>
      <c r="E41" s="76"/>
      <c r="F41" s="43"/>
      <c r="G41" s="51"/>
      <c r="H41" s="61"/>
      <c r="I41" s="61"/>
      <c r="J41" s="52"/>
      <c r="K41" s="53"/>
      <c r="L41" s="20"/>
      <c r="M41" s="30">
        <f t="shared" si="0"/>
        <v>153</v>
      </c>
      <c r="N41" s="30">
        <f t="shared" si="1"/>
        <v>214</v>
      </c>
      <c r="O41" s="54"/>
      <c r="P41" s="38"/>
      <c r="Q41" s="38"/>
      <c r="R41" s="38"/>
      <c r="S41" s="38"/>
      <c r="T41" s="38"/>
      <c r="U41" s="38"/>
      <c r="V41" s="38"/>
      <c r="W41" s="61"/>
      <c r="X41" s="61"/>
      <c r="Y41" s="38"/>
      <c r="Z41" s="38"/>
      <c r="AA41" s="71"/>
      <c r="AB41" s="55"/>
    </row>
    <row r="42" spans="1:59" ht="15.75" thickBot="1" x14ac:dyDescent="0.3">
      <c r="A42" s="18">
        <v>30</v>
      </c>
      <c r="B42" s="19"/>
      <c r="C42" s="60"/>
      <c r="D42" s="41"/>
      <c r="E42" s="76"/>
      <c r="F42" s="45"/>
      <c r="G42" s="51"/>
      <c r="H42" s="62"/>
      <c r="I42" s="62"/>
      <c r="J42" s="52"/>
      <c r="K42" s="53"/>
      <c r="L42" s="21"/>
      <c r="M42" s="31">
        <f t="shared" si="0"/>
        <v>153</v>
      </c>
      <c r="N42" s="31">
        <f t="shared" si="1"/>
        <v>214</v>
      </c>
      <c r="O42" s="56"/>
      <c r="P42" s="39"/>
      <c r="Q42" s="39"/>
      <c r="R42" s="39"/>
      <c r="S42" s="83"/>
      <c r="T42" s="83"/>
      <c r="U42" s="83"/>
      <c r="V42" s="39"/>
      <c r="W42" s="63"/>
      <c r="X42" s="63"/>
      <c r="Y42" s="39"/>
      <c r="Z42" s="39"/>
      <c r="AA42" s="71"/>
      <c r="AB42" s="57"/>
    </row>
    <row r="43" spans="1:59" s="2" customFormat="1" x14ac:dyDescent="0.25">
      <c r="A43" s="14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3"/>
      <c r="P43" s="13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</row>
    <row r="44" spans="1:59" ht="15.75" x14ac:dyDescent="0.25">
      <c r="A44" s="74" t="s">
        <v>111</v>
      </c>
      <c r="T44" s="8"/>
    </row>
    <row r="46" spans="1:59" x14ac:dyDescent="0.25">
      <c r="A46" s="73" t="s">
        <v>20</v>
      </c>
      <c r="E46" t="s">
        <v>132</v>
      </c>
    </row>
    <row r="47" spans="1:59" x14ac:dyDescent="0.25">
      <c r="A47" s="73"/>
      <c r="E47" t="s">
        <v>133</v>
      </c>
    </row>
    <row r="48" spans="1:59" x14ac:dyDescent="0.25">
      <c r="A48" s="73"/>
    </row>
    <row r="49" spans="1:22" x14ac:dyDescent="0.25">
      <c r="A49" s="73" t="s">
        <v>112</v>
      </c>
      <c r="E49" t="s">
        <v>119</v>
      </c>
      <c r="S49" s="8"/>
      <c r="T49" s="8"/>
      <c r="U49" s="8"/>
      <c r="V49" s="8"/>
    </row>
    <row r="50" spans="1:22" x14ac:dyDescent="0.25">
      <c r="E50" t="s">
        <v>113</v>
      </c>
      <c r="S50" s="8"/>
      <c r="T50" s="8"/>
      <c r="U50" s="8"/>
      <c r="V50" s="8"/>
    </row>
    <row r="51" spans="1:22" x14ac:dyDescent="0.25">
      <c r="E51" t="s">
        <v>114</v>
      </c>
      <c r="S51" s="8"/>
      <c r="T51" s="8"/>
      <c r="U51" s="8"/>
      <c r="V51" s="8"/>
    </row>
    <row r="52" spans="1:22" x14ac:dyDescent="0.25">
      <c r="E52" t="s">
        <v>115</v>
      </c>
    </row>
    <row r="53" spans="1:22" x14ac:dyDescent="0.25">
      <c r="E53" t="s">
        <v>116</v>
      </c>
    </row>
    <row r="54" spans="1:22" x14ac:dyDescent="0.25">
      <c r="E54" t="s">
        <v>117</v>
      </c>
    </row>
    <row r="55" spans="1:22" x14ac:dyDescent="0.25">
      <c r="E55" t="s">
        <v>118</v>
      </c>
    </row>
    <row r="57" spans="1:22" x14ac:dyDescent="0.25">
      <c r="A57" s="73" t="s">
        <v>125</v>
      </c>
      <c r="E57" t="s">
        <v>124</v>
      </c>
    </row>
    <row r="58" spans="1:22" x14ac:dyDescent="0.25">
      <c r="E58" t="s">
        <v>120</v>
      </c>
    </row>
    <row r="59" spans="1:22" x14ac:dyDescent="0.25">
      <c r="E59" t="s">
        <v>121</v>
      </c>
    </row>
    <row r="60" spans="1:22" x14ac:dyDescent="0.25">
      <c r="E60" t="s">
        <v>122</v>
      </c>
    </row>
    <row r="61" spans="1:22" x14ac:dyDescent="0.25">
      <c r="E61" t="s">
        <v>123</v>
      </c>
    </row>
    <row r="63" spans="1:22" x14ac:dyDescent="0.25">
      <c r="A63" s="73" t="s">
        <v>67</v>
      </c>
      <c r="E63" t="s">
        <v>126</v>
      </c>
    </row>
    <row r="64" spans="1:22" x14ac:dyDescent="0.25">
      <c r="E64" t="s">
        <v>39</v>
      </c>
    </row>
    <row r="65" spans="1:8" x14ac:dyDescent="0.25">
      <c r="E65" t="s">
        <v>40</v>
      </c>
    </row>
    <row r="66" spans="1:8" x14ac:dyDescent="0.25">
      <c r="E66" t="s">
        <v>41</v>
      </c>
    </row>
    <row r="67" spans="1:8" x14ac:dyDescent="0.25">
      <c r="E67" t="s">
        <v>42</v>
      </c>
    </row>
    <row r="69" spans="1:8" x14ac:dyDescent="0.25">
      <c r="A69" s="6" t="s">
        <v>141</v>
      </c>
      <c r="E69" s="84" t="s">
        <v>137</v>
      </c>
      <c r="F69" s="7"/>
      <c r="G69" s="7"/>
      <c r="H69" s="7"/>
    </row>
    <row r="70" spans="1:8" x14ac:dyDescent="0.25">
      <c r="E70" s="116" t="s">
        <v>138</v>
      </c>
      <c r="F70" s="116"/>
      <c r="G70" s="116"/>
      <c r="H70" s="116"/>
    </row>
    <row r="71" spans="1:8" x14ac:dyDescent="0.25">
      <c r="E71" s="116" t="s">
        <v>150</v>
      </c>
      <c r="F71" s="116"/>
      <c r="G71" s="116"/>
      <c r="H71" s="116"/>
    </row>
    <row r="72" spans="1:8" x14ac:dyDescent="0.25">
      <c r="E72" s="116" t="s">
        <v>151</v>
      </c>
      <c r="F72" s="116"/>
      <c r="G72" s="116"/>
      <c r="H72" s="7"/>
    </row>
    <row r="73" spans="1:8" x14ac:dyDescent="0.25">
      <c r="E73" s="85" t="s">
        <v>152</v>
      </c>
      <c r="F73" s="85"/>
      <c r="G73" s="85"/>
      <c r="H73" s="7"/>
    </row>
    <row r="74" spans="1:8" x14ac:dyDescent="0.25">
      <c r="E74" s="117" t="s">
        <v>59</v>
      </c>
      <c r="F74" s="117"/>
      <c r="G74" s="7"/>
      <c r="H74" s="7"/>
    </row>
    <row r="77" spans="1:8" x14ac:dyDescent="0.25">
      <c r="A77" s="73" t="s">
        <v>127</v>
      </c>
      <c r="E77" t="s">
        <v>128</v>
      </c>
    </row>
    <row r="78" spans="1:8" x14ac:dyDescent="0.25">
      <c r="A78" s="73"/>
      <c r="E78" t="s">
        <v>129</v>
      </c>
    </row>
    <row r="79" spans="1:8" x14ac:dyDescent="0.25">
      <c r="A79" s="73"/>
    </row>
    <row r="80" spans="1:8" x14ac:dyDescent="0.25">
      <c r="E80" s="114" t="s">
        <v>62</v>
      </c>
      <c r="F80" s="114"/>
      <c r="G80" s="114" t="s">
        <v>61</v>
      </c>
      <c r="H80" s="114"/>
    </row>
    <row r="81" spans="1:8" x14ac:dyDescent="0.25">
      <c r="E81" s="113" t="s">
        <v>51</v>
      </c>
      <c r="F81" s="113"/>
      <c r="G81" s="113" t="s">
        <v>54</v>
      </c>
      <c r="H81" s="113"/>
    </row>
    <row r="82" spans="1:8" x14ac:dyDescent="0.25">
      <c r="E82" s="113" t="s">
        <v>52</v>
      </c>
      <c r="F82" s="113"/>
      <c r="G82" s="80" t="s">
        <v>55</v>
      </c>
      <c r="H82" s="81"/>
    </row>
    <row r="83" spans="1:8" x14ac:dyDescent="0.25">
      <c r="E83" s="113" t="s">
        <v>53</v>
      </c>
      <c r="F83" s="113"/>
      <c r="G83" s="113" t="s">
        <v>148</v>
      </c>
      <c r="H83" s="113"/>
    </row>
    <row r="84" spans="1:8" ht="44.25" customHeight="1" x14ac:dyDescent="0.25">
      <c r="E84" s="113"/>
      <c r="F84" s="113"/>
      <c r="G84" s="115" t="s">
        <v>153</v>
      </c>
      <c r="H84" s="115"/>
    </row>
    <row r="87" spans="1:8" x14ac:dyDescent="0.25">
      <c r="A87" s="73" t="s">
        <v>131</v>
      </c>
      <c r="E87" t="s">
        <v>130</v>
      </c>
    </row>
  </sheetData>
  <sheetProtection algorithmName="SHA-512" hashValue="egRGituVaoUk4nQftF2iCB1AEmCPd/Uc6UfBifZ50oRe8WVA8Q95u6W4UVoAlZqt8IlXt1HTyPstdjKL9kKsBw==" saltValue="IwmROWI4svkiGgs8THD1QQ==" spinCount="100000" sheet="1" selectLockedCells="1"/>
  <mergeCells count="43">
    <mergeCell ref="G81:H81"/>
    <mergeCell ref="G80:H80"/>
    <mergeCell ref="G83:H83"/>
    <mergeCell ref="G84:H84"/>
    <mergeCell ref="E70:H70"/>
    <mergeCell ref="E71:H71"/>
    <mergeCell ref="E72:G72"/>
    <mergeCell ref="E74:F74"/>
    <mergeCell ref="E84:F84"/>
    <mergeCell ref="E81:F81"/>
    <mergeCell ref="E82:F82"/>
    <mergeCell ref="E83:F83"/>
    <mergeCell ref="E80:F80"/>
    <mergeCell ref="F9:K9"/>
    <mergeCell ref="A3:C3"/>
    <mergeCell ref="D3:F3"/>
    <mergeCell ref="Y10:Z10"/>
    <mergeCell ref="Q10:R10"/>
    <mergeCell ref="U10:V10"/>
    <mergeCell ref="C10:C11"/>
    <mergeCell ref="D10:D11"/>
    <mergeCell ref="E10:E11"/>
    <mergeCell ref="G10:G11"/>
    <mergeCell ref="H10:I10"/>
    <mergeCell ref="P10:P11"/>
    <mergeCell ref="M10:N10"/>
    <mergeCell ref="J10:K10"/>
    <mergeCell ref="A1:I1"/>
    <mergeCell ref="A5:G5"/>
    <mergeCell ref="A6:D6"/>
    <mergeCell ref="A7:D7"/>
    <mergeCell ref="L10:L11"/>
    <mergeCell ref="L9:AB9"/>
    <mergeCell ref="W10:X10"/>
    <mergeCell ref="AB10:AB11"/>
    <mergeCell ref="F10:F11"/>
    <mergeCell ref="O10:O11"/>
    <mergeCell ref="S10:T10"/>
    <mergeCell ref="A10:A11"/>
    <mergeCell ref="B10:B11"/>
    <mergeCell ref="AA10:AA11"/>
    <mergeCell ref="A2:C2"/>
    <mergeCell ref="D2:F2"/>
  </mergeCells>
  <dataValidations count="1">
    <dataValidation type="whole" allowBlank="1" showInputMessage="1" showErrorMessage="1" sqref="E12:E42">
      <formula1>1000</formula1>
      <formula2>99999</formula2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DropDown!$B$2:$B$4</xm:f>
          </x14:formula1>
          <xm:sqref>D12:D42</xm:sqref>
        </x14:dataValidation>
        <x14:dataValidation type="list" allowBlank="1" showInputMessage="1" showErrorMessage="1">
          <x14:formula1>
            <xm:f>DropDown!$C$2:$C$4</xm:f>
          </x14:formula1>
          <xm:sqref>O12:O42 U12:U42 AA12:AA42</xm:sqref>
        </x14:dataValidation>
        <x14:dataValidation type="list" allowBlank="1" showInputMessage="1" showErrorMessage="1">
          <x14:formula1>
            <xm:f>DropDown!$H$2:$H$5</xm:f>
          </x14:formula1>
          <xm:sqref>Q12:R42</xm:sqref>
        </x14:dataValidation>
        <x14:dataValidation type="list" allowBlank="1" showInputMessage="1" showErrorMessage="1">
          <x14:formula1>
            <xm:f>DropDown!$D$2:$D$19</xm:f>
          </x14:formula1>
          <xm:sqref>W12:X42 H12:I42</xm:sqref>
        </x14:dataValidation>
        <x14:dataValidation type="list" allowBlank="1" showInputMessage="1" showErrorMessage="1">
          <x14:formula1>
            <xm:f>DropDown!$C$2:$C$3</xm:f>
          </x14:formula1>
          <xm:sqref>AB12:AB42</xm:sqref>
        </x14:dataValidation>
        <x14:dataValidation type="list" allowBlank="1" showInputMessage="1" showErrorMessage="1">
          <x14:formula1>
            <xm:f>DropDown!$F$2:$F$7</xm:f>
          </x14:formula1>
          <xm:sqref>J12:K42 Y12:Z42</xm:sqref>
        </x14:dataValidation>
        <x14:dataValidation type="list" allowBlank="1" showInputMessage="1" showErrorMessage="1">
          <x14:formula1>
            <xm:f>DropDown!$K$2:$K$6</xm:f>
          </x14:formula1>
          <xm:sqref>P12:P42</xm:sqref>
        </x14:dataValidation>
        <x14:dataValidation type="list" allowBlank="1" showInputMessage="1" showErrorMessage="1">
          <x14:formula1>
            <xm:f>DropDown!$L$2:$L$5</xm:f>
          </x14:formula1>
          <xm:sqref>G12:G42</xm:sqref>
        </x14:dataValidation>
        <x14:dataValidation type="list" allowBlank="1" showInputMessage="1" showErrorMessage="1">
          <x14:formula1>
            <xm:f>DropDown!$I$2:$I$6</xm:f>
          </x14:formula1>
          <xm:sqref>S12:T42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9"/>
  <sheetViews>
    <sheetView workbookViewId="0">
      <selection activeCell="M25" sqref="M25"/>
    </sheetView>
  </sheetViews>
  <sheetFormatPr baseColWidth="10" defaultRowHeight="15" x14ac:dyDescent="0.25"/>
  <cols>
    <col min="1" max="1" width="18.42578125" customWidth="1"/>
    <col min="6" max="8" width="7.85546875" customWidth="1"/>
    <col min="10" max="27" width="6" customWidth="1"/>
    <col min="28" max="45" width="5.5703125" customWidth="1"/>
    <col min="46" max="57" width="6.5703125" customWidth="1"/>
  </cols>
  <sheetData>
    <row r="1" spans="1:139" ht="18.75" x14ac:dyDescent="0.3">
      <c r="A1" s="47" t="s">
        <v>91</v>
      </c>
    </row>
    <row r="2" spans="1:139" ht="18.75" x14ac:dyDescent="0.3">
      <c r="A2" s="47"/>
      <c r="F2" s="120" t="s">
        <v>92</v>
      </c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18" t="s">
        <v>105</v>
      </c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</row>
    <row r="3" spans="1:139" ht="15" customHeight="1" x14ac:dyDescent="0.25">
      <c r="A3" s="123" t="s">
        <v>93</v>
      </c>
      <c r="B3" s="49" t="s">
        <v>99</v>
      </c>
      <c r="C3" s="125" t="s">
        <v>19</v>
      </c>
      <c r="D3" s="125"/>
      <c r="E3" s="125"/>
      <c r="F3" s="120" t="s">
        <v>18</v>
      </c>
      <c r="G3" s="120"/>
      <c r="H3" s="120"/>
      <c r="I3" s="120"/>
      <c r="J3" s="119" t="s">
        <v>101</v>
      </c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 t="s">
        <v>102</v>
      </c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26" t="s">
        <v>103</v>
      </c>
      <c r="AU3" s="126"/>
      <c r="AV3" s="126"/>
      <c r="AW3" s="126"/>
      <c r="AX3" s="126"/>
      <c r="AY3" s="126"/>
      <c r="AZ3" s="126" t="s">
        <v>104</v>
      </c>
      <c r="BA3" s="126"/>
      <c r="BB3" s="126"/>
      <c r="BC3" s="126"/>
      <c r="BD3" s="126"/>
      <c r="BE3" s="126"/>
      <c r="BF3" s="118" t="s">
        <v>6</v>
      </c>
      <c r="BG3" s="118"/>
      <c r="BH3" s="118"/>
      <c r="BI3" s="118" t="s">
        <v>141</v>
      </c>
      <c r="BJ3" s="118"/>
      <c r="BK3" s="118"/>
      <c r="BL3" s="118"/>
      <c r="BM3" s="118"/>
      <c r="BN3" s="118" t="s">
        <v>106</v>
      </c>
      <c r="BO3" s="118"/>
      <c r="BP3" s="118"/>
      <c r="BQ3" s="118"/>
      <c r="BR3" s="118" t="s">
        <v>107</v>
      </c>
      <c r="BS3" s="118"/>
      <c r="BT3" s="118"/>
      <c r="BU3" s="118"/>
      <c r="BV3" s="118" t="s">
        <v>108</v>
      </c>
      <c r="BW3" s="118"/>
      <c r="BX3" s="118"/>
      <c r="BY3" s="118"/>
      <c r="BZ3" s="118"/>
      <c r="CA3" s="118" t="s">
        <v>109</v>
      </c>
      <c r="CB3" s="118"/>
      <c r="CC3" s="118"/>
      <c r="CD3" s="118"/>
      <c r="CE3" s="118"/>
      <c r="CF3" s="118" t="s">
        <v>63</v>
      </c>
      <c r="CG3" s="118"/>
      <c r="CH3" s="118"/>
      <c r="CI3" s="121" t="s">
        <v>101</v>
      </c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 t="s">
        <v>102</v>
      </c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2" t="s">
        <v>103</v>
      </c>
      <c r="DT3" s="122"/>
      <c r="DU3" s="122"/>
      <c r="DV3" s="122"/>
      <c r="DW3" s="122"/>
      <c r="DX3" s="122"/>
      <c r="DY3" s="122" t="s">
        <v>104</v>
      </c>
      <c r="DZ3" s="122"/>
      <c r="EA3" s="122"/>
      <c r="EB3" s="122"/>
      <c r="EC3" s="122"/>
      <c r="ED3" s="122"/>
      <c r="EE3" s="118" t="s">
        <v>7</v>
      </c>
      <c r="EF3" s="118"/>
      <c r="EG3" s="118"/>
      <c r="EH3" s="118" t="s">
        <v>110</v>
      </c>
      <c r="EI3" s="118"/>
    </row>
    <row r="4" spans="1:139" ht="15" customHeight="1" x14ac:dyDescent="0.25">
      <c r="A4" s="124"/>
      <c r="B4" s="49" t="s">
        <v>100</v>
      </c>
      <c r="C4" s="49" t="s">
        <v>94</v>
      </c>
      <c r="D4" s="49" t="s">
        <v>95</v>
      </c>
      <c r="E4" s="49" t="s">
        <v>98</v>
      </c>
      <c r="F4" s="64" t="s">
        <v>12</v>
      </c>
      <c r="G4" s="64" t="s">
        <v>145</v>
      </c>
      <c r="H4" s="64" t="s">
        <v>146</v>
      </c>
      <c r="I4" s="64" t="s">
        <v>13</v>
      </c>
      <c r="J4" s="66">
        <v>0</v>
      </c>
      <c r="K4" s="66" t="s">
        <v>73</v>
      </c>
      <c r="L4" s="66" t="s">
        <v>74</v>
      </c>
      <c r="M4" s="66" t="s">
        <v>75</v>
      </c>
      <c r="N4" s="66" t="s">
        <v>76</v>
      </c>
      <c r="O4" s="66" t="s">
        <v>77</v>
      </c>
      <c r="P4" s="66" t="s">
        <v>82</v>
      </c>
      <c r="Q4" s="66" t="s">
        <v>83</v>
      </c>
      <c r="R4" s="66" t="s">
        <v>84</v>
      </c>
      <c r="S4" s="66" t="s">
        <v>78</v>
      </c>
      <c r="T4" s="66" t="s">
        <v>85</v>
      </c>
      <c r="U4" s="66" t="s">
        <v>86</v>
      </c>
      <c r="V4" s="66" t="s">
        <v>87</v>
      </c>
      <c r="W4" s="66" t="s">
        <v>79</v>
      </c>
      <c r="X4" s="66" t="s">
        <v>88</v>
      </c>
      <c r="Y4" s="66" t="s">
        <v>89</v>
      </c>
      <c r="Z4" s="66" t="s">
        <v>90</v>
      </c>
      <c r="AA4" s="66">
        <v>5</v>
      </c>
      <c r="AB4" s="66">
        <v>0</v>
      </c>
      <c r="AC4" s="66" t="s">
        <v>73</v>
      </c>
      <c r="AD4" s="66" t="s">
        <v>74</v>
      </c>
      <c r="AE4" s="66" t="s">
        <v>75</v>
      </c>
      <c r="AF4" s="66" t="s">
        <v>76</v>
      </c>
      <c r="AG4" s="66" t="s">
        <v>77</v>
      </c>
      <c r="AH4" s="66" t="s">
        <v>82</v>
      </c>
      <c r="AI4" s="66" t="s">
        <v>83</v>
      </c>
      <c r="AJ4" s="66" t="s">
        <v>84</v>
      </c>
      <c r="AK4" s="66" t="s">
        <v>78</v>
      </c>
      <c r="AL4" s="66" t="s">
        <v>85</v>
      </c>
      <c r="AM4" s="66" t="s">
        <v>86</v>
      </c>
      <c r="AN4" s="66" t="s">
        <v>87</v>
      </c>
      <c r="AO4" s="66" t="s">
        <v>79</v>
      </c>
      <c r="AP4" s="66" t="s">
        <v>88</v>
      </c>
      <c r="AQ4" s="66" t="s">
        <v>89</v>
      </c>
      <c r="AR4" s="66" t="s">
        <v>90</v>
      </c>
      <c r="AS4" s="66">
        <v>5</v>
      </c>
      <c r="AT4" s="65" t="s">
        <v>12</v>
      </c>
      <c r="AU4" s="65" t="s">
        <v>39</v>
      </c>
      <c r="AV4" s="65" t="s">
        <v>135</v>
      </c>
      <c r="AW4" s="65" t="s">
        <v>40</v>
      </c>
      <c r="AX4" s="65" t="s">
        <v>41</v>
      </c>
      <c r="AY4" s="65" t="s">
        <v>42</v>
      </c>
      <c r="AZ4" s="65" t="s">
        <v>12</v>
      </c>
      <c r="BA4" s="65" t="s">
        <v>39</v>
      </c>
      <c r="BB4" s="65" t="s">
        <v>135</v>
      </c>
      <c r="BC4" s="65" t="s">
        <v>40</v>
      </c>
      <c r="BD4" s="65" t="s">
        <v>41</v>
      </c>
      <c r="BE4" s="65" t="s">
        <v>42</v>
      </c>
      <c r="BF4" s="67" t="s">
        <v>11</v>
      </c>
      <c r="BG4" s="67" t="s">
        <v>12</v>
      </c>
      <c r="BH4" s="67" t="s">
        <v>13</v>
      </c>
      <c r="BI4" s="68" t="s">
        <v>137</v>
      </c>
      <c r="BJ4" s="68" t="s">
        <v>138</v>
      </c>
      <c r="BK4" s="68" t="s">
        <v>139</v>
      </c>
      <c r="BL4" s="68" t="s">
        <v>58</v>
      </c>
      <c r="BM4" s="68" t="s">
        <v>140</v>
      </c>
      <c r="BN4" s="68" t="s">
        <v>12</v>
      </c>
      <c r="BO4" s="68" t="s">
        <v>51</v>
      </c>
      <c r="BP4" s="68" t="s">
        <v>52</v>
      </c>
      <c r="BQ4" s="68" t="s">
        <v>53</v>
      </c>
      <c r="BR4" s="68" t="s">
        <v>12</v>
      </c>
      <c r="BS4" s="68" t="s">
        <v>51</v>
      </c>
      <c r="BT4" s="68" t="s">
        <v>52</v>
      </c>
      <c r="BU4" s="68" t="s">
        <v>53</v>
      </c>
      <c r="BV4" s="68" t="s">
        <v>12</v>
      </c>
      <c r="BW4" s="68" t="s">
        <v>54</v>
      </c>
      <c r="BX4" s="68" t="s">
        <v>55</v>
      </c>
      <c r="BY4" s="68" t="s">
        <v>148</v>
      </c>
      <c r="BZ4" s="68" t="s">
        <v>56</v>
      </c>
      <c r="CA4" s="68" t="s">
        <v>12</v>
      </c>
      <c r="CB4" s="68" t="s">
        <v>54</v>
      </c>
      <c r="CC4" s="68" t="s">
        <v>55</v>
      </c>
      <c r="CD4" s="68" t="s">
        <v>148</v>
      </c>
      <c r="CE4" s="68" t="s">
        <v>56</v>
      </c>
      <c r="CF4" s="67" t="s">
        <v>11</v>
      </c>
      <c r="CG4" s="67" t="s">
        <v>12</v>
      </c>
      <c r="CH4" s="67" t="s">
        <v>13</v>
      </c>
      <c r="CI4" s="69">
        <v>0</v>
      </c>
      <c r="CJ4" s="69" t="s">
        <v>73</v>
      </c>
      <c r="CK4" s="69" t="s">
        <v>74</v>
      </c>
      <c r="CL4" s="69" t="s">
        <v>75</v>
      </c>
      <c r="CM4" s="69" t="s">
        <v>76</v>
      </c>
      <c r="CN4" s="69" t="s">
        <v>77</v>
      </c>
      <c r="CO4" s="69" t="s">
        <v>82</v>
      </c>
      <c r="CP4" s="69" t="s">
        <v>83</v>
      </c>
      <c r="CQ4" s="69" t="s">
        <v>84</v>
      </c>
      <c r="CR4" s="69" t="s">
        <v>78</v>
      </c>
      <c r="CS4" s="69" t="s">
        <v>85</v>
      </c>
      <c r="CT4" s="69" t="s">
        <v>86</v>
      </c>
      <c r="CU4" s="69" t="s">
        <v>87</v>
      </c>
      <c r="CV4" s="69" t="s">
        <v>79</v>
      </c>
      <c r="CW4" s="69" t="s">
        <v>88</v>
      </c>
      <c r="CX4" s="69" t="s">
        <v>89</v>
      </c>
      <c r="CY4" s="69" t="s">
        <v>90</v>
      </c>
      <c r="CZ4" s="69">
        <v>5</v>
      </c>
      <c r="DA4" s="69">
        <v>0</v>
      </c>
      <c r="DB4" s="69" t="s">
        <v>73</v>
      </c>
      <c r="DC4" s="69" t="s">
        <v>74</v>
      </c>
      <c r="DD4" s="69" t="s">
        <v>75</v>
      </c>
      <c r="DE4" s="69" t="s">
        <v>76</v>
      </c>
      <c r="DF4" s="69" t="s">
        <v>77</v>
      </c>
      <c r="DG4" s="69" t="s">
        <v>82</v>
      </c>
      <c r="DH4" s="69" t="s">
        <v>83</v>
      </c>
      <c r="DI4" s="69" t="s">
        <v>84</v>
      </c>
      <c r="DJ4" s="69" t="s">
        <v>78</v>
      </c>
      <c r="DK4" s="69" t="s">
        <v>85</v>
      </c>
      <c r="DL4" s="69" t="s">
        <v>86</v>
      </c>
      <c r="DM4" s="69" t="s">
        <v>87</v>
      </c>
      <c r="DN4" s="69" t="s">
        <v>79</v>
      </c>
      <c r="DO4" s="69" t="s">
        <v>88</v>
      </c>
      <c r="DP4" s="69" t="s">
        <v>89</v>
      </c>
      <c r="DQ4" s="69" t="s">
        <v>90</v>
      </c>
      <c r="DR4" s="69">
        <v>5</v>
      </c>
      <c r="DS4" s="70" t="s">
        <v>12</v>
      </c>
      <c r="DT4" s="70" t="s">
        <v>39</v>
      </c>
      <c r="DU4" s="70" t="s">
        <v>135</v>
      </c>
      <c r="DV4" s="70" t="s">
        <v>40</v>
      </c>
      <c r="DW4" s="70" t="s">
        <v>41</v>
      </c>
      <c r="DX4" s="70" t="s">
        <v>42</v>
      </c>
      <c r="DY4" s="70" t="s">
        <v>12</v>
      </c>
      <c r="DZ4" s="70" t="s">
        <v>39</v>
      </c>
      <c r="EA4" s="70" t="s">
        <v>135</v>
      </c>
      <c r="EB4" s="70" t="s">
        <v>40</v>
      </c>
      <c r="EC4" s="70" t="s">
        <v>41</v>
      </c>
      <c r="ED4" s="70" t="s">
        <v>42</v>
      </c>
      <c r="EE4" s="67" t="s">
        <v>11</v>
      </c>
      <c r="EF4" s="67" t="s">
        <v>12</v>
      </c>
      <c r="EG4" s="67" t="s">
        <v>13</v>
      </c>
      <c r="EH4" s="67" t="s">
        <v>11</v>
      </c>
      <c r="EI4" s="67" t="s">
        <v>12</v>
      </c>
    </row>
    <row r="5" spans="1:139" x14ac:dyDescent="0.25">
      <c r="A5" s="49">
        <f>Evaluation_obligat!D3</f>
        <v>0</v>
      </c>
      <c r="B5" s="50" t="e">
        <f>AVERAGE(Evaluation_obligat!C13:C42)</f>
        <v>#DIV/0!</v>
      </c>
      <c r="C5" s="49">
        <f>COUNTIF(Evaluation_obligat!D13:D42,"m")</f>
        <v>0</v>
      </c>
      <c r="D5" s="49">
        <f>COUNTIF(Evaluation_obligat!D13:D42,"w")</f>
        <v>0</v>
      </c>
      <c r="E5" s="49">
        <f>COUNTIF(Evaluation_obligat!D13:D42,"d")</f>
        <v>0</v>
      </c>
      <c r="F5" s="65">
        <f>COUNTIF(Evaluation_obligat!G13:G42,"nein")</f>
        <v>0</v>
      </c>
      <c r="G5" s="65">
        <f>COUNTIF(Evaluation_obligat!G13:G42,"GFR 15 - 60 ml/min")</f>
        <v>0</v>
      </c>
      <c r="H5" s="65">
        <f>COUNTIF(Evaluation_obligat!G13:G42,"terminale Niereninsuff./Dialyse")</f>
        <v>0</v>
      </c>
      <c r="I5" s="65">
        <f>COUNTIF(Evaluation_obligat!G13:G42,"unbekannt")</f>
        <v>0</v>
      </c>
      <c r="J5" s="65">
        <f>COUNTIF(Evaluation_obligat!H13:H42,"0")</f>
        <v>0</v>
      </c>
      <c r="K5" s="65">
        <f>COUNTIF(Evaluation_obligat!H13:H42,"1A")</f>
        <v>0</v>
      </c>
      <c r="L5" s="65">
        <f>COUNTIF(Evaluation_obligat!H13:H42,"1B")</f>
        <v>0</v>
      </c>
      <c r="M5" s="65">
        <f>COUNTIF(Evaluation_obligat!H13:H42,"1C")</f>
        <v>0</v>
      </c>
      <c r="N5" s="65">
        <f>COUNTIF(Evaluation_obligat!H13:H42,"1D")</f>
        <v>0</v>
      </c>
      <c r="O5" s="65">
        <f>COUNTIF(Evaluation_obligat!H13:H42,"2A")</f>
        <v>0</v>
      </c>
      <c r="P5" s="65">
        <f>COUNTIF(Evaluation_obligat!H13:H42,"2B")</f>
        <v>0</v>
      </c>
      <c r="Q5" s="65">
        <f>COUNTIF(Evaluation_obligat!H13:H42,"2C")</f>
        <v>0</v>
      </c>
      <c r="R5" s="65">
        <f>COUNTIF(Evaluation_obligat!H13:H42,"2D")</f>
        <v>0</v>
      </c>
      <c r="S5" s="65">
        <f>COUNTIF(Evaluation_obligat!H13:H42,"3A")</f>
        <v>0</v>
      </c>
      <c r="T5" s="65">
        <f>COUNTIF(Evaluation_obligat!H13:H42,"3B")</f>
        <v>0</v>
      </c>
      <c r="U5" s="65">
        <f>COUNTIF(Evaluation_obligat!H13:H42,"3C")</f>
        <v>0</v>
      </c>
      <c r="V5" s="65">
        <f>COUNTIF(Evaluation_obligat!H13:H42,"3D")</f>
        <v>0</v>
      </c>
      <c r="W5" s="65">
        <f>COUNTIF(Evaluation_obligat!H13:H42,"4A")</f>
        <v>0</v>
      </c>
      <c r="X5" s="65">
        <f>COUNTIF(Evaluation_obligat!H13:H42,"4B")</f>
        <v>0</v>
      </c>
      <c r="Y5" s="65">
        <f>COUNTIF(Evaluation_obligat!H13:H42,"4C")</f>
        <v>0</v>
      </c>
      <c r="Z5" s="65">
        <f>COUNTIF(Evaluation_obligat!H13:H42,"4D")</f>
        <v>0</v>
      </c>
      <c r="AA5" s="65">
        <f>COUNTIF(Evaluation_obligat!H13:H42,"5")</f>
        <v>0</v>
      </c>
      <c r="AB5" s="65">
        <f>COUNTIF(Evaluation_obligat!I13:I42,"0")</f>
        <v>0</v>
      </c>
      <c r="AC5" s="65">
        <f>COUNTIF(Evaluation_obligat!I13:I42,"1A")</f>
        <v>0</v>
      </c>
      <c r="AD5" s="65">
        <f>COUNTIF(Evaluation_obligat!I13:I42,"1B")</f>
        <v>0</v>
      </c>
      <c r="AE5" s="65">
        <f>COUNTIF(Evaluation_obligat!I13:I42,"1C")</f>
        <v>0</v>
      </c>
      <c r="AF5" s="65">
        <f>COUNTIF(Evaluation_obligat!I13:I42,"1D")</f>
        <v>0</v>
      </c>
      <c r="AG5" s="65">
        <f>COUNTIF(Evaluation_obligat!I13:I42,"2A")</f>
        <v>0</v>
      </c>
      <c r="AH5" s="65">
        <f>COUNTIF(Evaluation_obligat!I13:I42,"2B")</f>
        <v>0</v>
      </c>
      <c r="AI5" s="65">
        <f>COUNTIF(Evaluation_obligat!I13:I42,"2C")</f>
        <v>0</v>
      </c>
      <c r="AJ5" s="65">
        <f>COUNTIF(Evaluation_obligat!I13:I42,"2D")</f>
        <v>0</v>
      </c>
      <c r="AK5" s="65">
        <f>COUNTIF(Evaluation_obligat!I13:I42,"3A")</f>
        <v>0</v>
      </c>
      <c r="AL5" s="65">
        <f>COUNTIF(Evaluation_obligat!I13:I42,"3B")</f>
        <v>0</v>
      </c>
      <c r="AM5" s="65">
        <f>COUNTIF(Evaluation_obligat!I13:I42,"3C")</f>
        <v>0</v>
      </c>
      <c r="AN5" s="65">
        <f>COUNTIF(Evaluation_obligat!I13:I42,"3D")</f>
        <v>0</v>
      </c>
      <c r="AO5" s="65">
        <f>COUNTIF(Evaluation_obligat!I13:I42,"4A")</f>
        <v>0</v>
      </c>
      <c r="AP5" s="65">
        <f>COUNTIF(Evaluation_obligat!I13:I42,"4B")</f>
        <v>0</v>
      </c>
      <c r="AQ5" s="65">
        <f>COUNTIF(Evaluation_obligat!I13:I42,"4C")</f>
        <v>0</v>
      </c>
      <c r="AR5" s="65">
        <f>COUNTIF(Evaluation_obligat!I13:I42,"4D")</f>
        <v>0</v>
      </c>
      <c r="AS5" s="65">
        <f>COUNTIF(Evaluation_obligat!I13:I42,"5")</f>
        <v>0</v>
      </c>
      <c r="AT5" s="65">
        <f>COUNTIF(Evaluation_obligat!J13:J42,"nein")</f>
        <v>0</v>
      </c>
      <c r="AU5" s="65">
        <f>COUNTIF(Evaluation_obligat!J13:J42,"aktiv (Rötung, Schwellung, Überwärmung)")</f>
        <v>0</v>
      </c>
      <c r="AV5" s="65">
        <f>COUNTIF(Evaluation_obligat!J13:J42,"aktiv mit Deformierung")</f>
        <v>0</v>
      </c>
      <c r="AW5" s="65">
        <f>COUNTIF(Evaluation_obligat!J13:J42,"inaktiv ohne Deformierung")</f>
        <v>0</v>
      </c>
      <c r="AX5" s="65">
        <f>COUNTIF(Evaluation_obligat!J13:J42,"inaktiv mit Deformierung")</f>
        <v>0</v>
      </c>
      <c r="AY5" s="65">
        <f>COUNTIF(Evaluation_obligat!J13:J42,"unklar")</f>
        <v>0</v>
      </c>
      <c r="AZ5" s="65">
        <f>COUNTIF(Evaluation_obligat!K13:K42,"nein")</f>
        <v>0</v>
      </c>
      <c r="BA5" s="65">
        <f>COUNTIF(Evaluation_obligat!K13:K42,"aktiv (Rötung, Schwellung, Überwärmung)")</f>
        <v>0</v>
      </c>
      <c r="BB5" s="65">
        <f>COUNTIF(Evaluation_obligat!K13:K42,"aktiv mit Deformierung")</f>
        <v>0</v>
      </c>
      <c r="BC5" s="65">
        <f>COUNTIF(Evaluation_obligat!K13:K42,"inaktiv ohne Deformierung")</f>
        <v>0</v>
      </c>
      <c r="BD5" s="65">
        <f>COUNTIF(Evaluation_obligat!K13:K42,"inaktiv mit Deformierung")</f>
        <v>0</v>
      </c>
      <c r="BE5" s="65">
        <f>COUNTIF(Evaluation_obligat!K13:K42,"unklar")</f>
        <v>0</v>
      </c>
      <c r="BF5" s="68">
        <f>COUNTIF(Evaluation_obligat!O13:O42,"ja")</f>
        <v>0</v>
      </c>
      <c r="BG5" s="68">
        <f>COUNTIF(Evaluation_obligat!O13:O42,"nein")</f>
        <v>0</v>
      </c>
      <c r="BH5" s="68">
        <f>COUNTIF(Evaluation_obligat!O13:O42,"unbekannt")</f>
        <v>0</v>
      </c>
      <c r="BI5" s="68">
        <f>COUNTIF(Evaluation_obligat!P13:P42,"keine")</f>
        <v>0</v>
      </c>
      <c r="BJ5" s="68">
        <f>COUNTIF(Evaluation_obligat!P13:P42,"ohne Intervention")</f>
        <v>0</v>
      </c>
      <c r="BK5" s="68">
        <f>COUNTIF(Evaluation_obligat!P13:P42,"PTA/Stent")</f>
        <v>0</v>
      </c>
      <c r="BL5" s="68">
        <f>COUNTIF(Evaluation_obligat!P13:P42,"Bypass")</f>
        <v>0</v>
      </c>
      <c r="BM5" s="68">
        <f>COUNTIF(Evaluation_obligat!P13:P42,"Kombinationseingriff (PTA mit Bypass)")</f>
        <v>0</v>
      </c>
      <c r="BN5" s="68">
        <f>COUNTIF(Evaluation_obligat!Q13:Q42,"nein")</f>
        <v>0</v>
      </c>
      <c r="BO5" s="68">
        <f>COUNTIF(Evaluation_obligat!Q13:Q42,"Unterschenkel")</f>
        <v>0</v>
      </c>
      <c r="BP5" s="68">
        <f>COUNTIF(Evaluation_obligat!Q13:Q42,"Knie")</f>
        <v>0</v>
      </c>
      <c r="BQ5" s="68">
        <f>COUNTIF(Evaluation_obligat!Q13:Q42,"Oberschenkel")</f>
        <v>0</v>
      </c>
      <c r="BR5" s="68">
        <f>COUNTIF(Evaluation_obligat!R13:R42,"nein")</f>
        <v>0</v>
      </c>
      <c r="BS5" s="68">
        <f>COUNTIF(Evaluation_obligat!R13:R42,"Unterschenkel")</f>
        <v>0</v>
      </c>
      <c r="BT5" s="68">
        <f>COUNTIF(Evaluation_obligat!R13:R42,"Knie")</f>
        <v>0</v>
      </c>
      <c r="BU5" s="68">
        <f>COUNTIF(Evaluation_obligat!R13:R42,"Oberschenkel")</f>
        <v>0</v>
      </c>
      <c r="BV5" s="68">
        <f>COUNTIF(Evaluation_obligat!S13:S42,"nein")</f>
        <v>0</v>
      </c>
      <c r="BW5" s="68">
        <f>COUNTIF(Evaluation_obligat!S13:S42,"Zeh/Zehen")</f>
        <v>0</v>
      </c>
      <c r="BX5" s="68">
        <f>COUNTIF(Evaluation_obligat!S13:S42,"Strahl (MFK und Zeh)")</f>
        <v>0</v>
      </c>
      <c r="BY5" s="68">
        <f>COUNTIF(Evaluation_obligat!S13:S42,"Lisfranc/Chopart/Syme")</f>
        <v>0</v>
      </c>
      <c r="BZ5" s="68">
        <f>COUNTIF(Evaluation_obligat!S13:S42,"sonstige Amputation (z.B. Exostose, Calcaneus)")</f>
        <v>0</v>
      </c>
      <c r="CA5" s="68">
        <f>COUNTIF(Evaluation_obligat!T13:T42,"nein")</f>
        <v>0</v>
      </c>
      <c r="CB5" s="68">
        <f>COUNTIF(Evaluation_obligat!T13:T42,"Zeh/Zehen")</f>
        <v>0</v>
      </c>
      <c r="CC5" s="68">
        <f>COUNTIF(Evaluation_obligat!T13:T42,"Strahl (MFK und Zeh)")</f>
        <v>0</v>
      </c>
      <c r="CD5" s="68">
        <f>COUNTIF(Evaluation_obligat!T13:T42,"Lisfranc/Chopart/Syme")</f>
        <v>0</v>
      </c>
      <c r="CE5" s="68">
        <f>COUNTIF(Evaluation_obligat!T13:T42,"sonstige Amputation (z.B. Exostose, Calcaneus)")</f>
        <v>0</v>
      </c>
      <c r="CF5" s="68">
        <f>COUNTIF(Evaluation_obligat!U13:U42,"ja")</f>
        <v>0</v>
      </c>
      <c r="CG5" s="68">
        <f>COUNTIF(Evaluation_obligat!U13:U42,"nein")</f>
        <v>0</v>
      </c>
      <c r="CH5" s="68">
        <f>COUNTIF(Evaluation_obligat!U13:U42,"unbekannt")</f>
        <v>0</v>
      </c>
      <c r="CI5" s="68">
        <f>COUNTIF(Evaluation_obligat!W13:W42,"0")</f>
        <v>0</v>
      </c>
      <c r="CJ5" s="68">
        <f>COUNTIF(Evaluation_obligat!W13:W42,"1A")</f>
        <v>0</v>
      </c>
      <c r="CK5" s="68">
        <f>COUNTIF(Evaluation_obligat!W13:W42,"1B")</f>
        <v>0</v>
      </c>
      <c r="CL5" s="68">
        <f>COUNTIF(Evaluation_obligat!W13:W42,"1C")</f>
        <v>0</v>
      </c>
      <c r="CM5" s="68">
        <f>COUNTIF(Evaluation_obligat!W13:W42,"1D")</f>
        <v>0</v>
      </c>
      <c r="CN5" s="68">
        <f>COUNTIF(Evaluation_obligat!W13:W42,"2A")</f>
        <v>0</v>
      </c>
      <c r="CO5" s="68">
        <f>COUNTIF(Evaluation_obligat!W13:W42,"2B")</f>
        <v>0</v>
      </c>
      <c r="CP5" s="68">
        <f>COUNTIF(Evaluation_obligat!W13:W42,"2C")</f>
        <v>0</v>
      </c>
      <c r="CQ5" s="68">
        <f>COUNTIF(Evaluation_obligat!W13:W42,"2D")</f>
        <v>0</v>
      </c>
      <c r="CR5" s="68">
        <f>COUNTIF(Evaluation_obligat!W13:W42,"3A")</f>
        <v>0</v>
      </c>
      <c r="CS5" s="68">
        <f>COUNTIF(Evaluation_obligat!W13:W42,"3B")</f>
        <v>0</v>
      </c>
      <c r="CT5" s="68">
        <f>COUNTIF(Evaluation_obligat!W13:W42,"3C")</f>
        <v>0</v>
      </c>
      <c r="CU5" s="68">
        <f>COUNTIF(Evaluation_obligat!W13:W42,"3D")</f>
        <v>0</v>
      </c>
      <c r="CV5" s="68">
        <f>COUNTIF(Evaluation_obligat!W13:W42,"4A")</f>
        <v>0</v>
      </c>
      <c r="CW5" s="68">
        <f>COUNTIF(Evaluation_obligat!W13:W42,"4B")</f>
        <v>0</v>
      </c>
      <c r="CX5" s="68">
        <f>COUNTIF(Evaluation_obligat!W13:W42,"4C")</f>
        <v>0</v>
      </c>
      <c r="CY5" s="68">
        <f>COUNTIF(Evaluation_obligat!W13:W42,"4D")</f>
        <v>0</v>
      </c>
      <c r="CZ5" s="68">
        <f>COUNTIF(Evaluation_obligat!W13:W42,"5")</f>
        <v>0</v>
      </c>
      <c r="DA5" s="68">
        <f>COUNTIF(Evaluation_obligat!X13:X42,"0")</f>
        <v>0</v>
      </c>
      <c r="DB5" s="68">
        <f>COUNTIF(Evaluation_obligat!X13:X42,"1A")</f>
        <v>0</v>
      </c>
      <c r="DC5" s="68">
        <f>COUNTIF(Evaluation_obligat!X13:X42,"1B")</f>
        <v>0</v>
      </c>
      <c r="DD5" s="68">
        <f>COUNTIF(Evaluation_obligat!X13:X42,"1C")</f>
        <v>0</v>
      </c>
      <c r="DE5" s="68">
        <f>COUNTIF(Evaluation_obligat!X13:X42,"1D")</f>
        <v>0</v>
      </c>
      <c r="DF5" s="68">
        <f>COUNTIF(Evaluation_obligat!X13:X42,"2A")</f>
        <v>0</v>
      </c>
      <c r="DG5" s="68">
        <f>COUNTIF(Evaluation_obligat!X13:X42,"2B")</f>
        <v>0</v>
      </c>
      <c r="DH5" s="68">
        <f>COUNTIF(Evaluation_obligat!X13:X42,"2C")</f>
        <v>0</v>
      </c>
      <c r="DI5" s="68">
        <f>COUNTIF(Evaluation_obligat!X13:X42,"2D")</f>
        <v>0</v>
      </c>
      <c r="DJ5" s="68">
        <f>COUNTIF(Evaluation_obligat!X13:X42,"3A")</f>
        <v>0</v>
      </c>
      <c r="DK5" s="68">
        <f>COUNTIF(Evaluation_obligat!X13:X42,"3B")</f>
        <v>0</v>
      </c>
      <c r="DL5" s="68">
        <f>COUNTIF(Evaluation_obligat!X13:X42,"3C")</f>
        <v>0</v>
      </c>
      <c r="DM5" s="68">
        <f>COUNTIF(Evaluation_obligat!X13:X42,"3D")</f>
        <v>0</v>
      </c>
      <c r="DN5" s="68">
        <f>COUNTIF(Evaluation_obligat!X13:X42,"4A")</f>
        <v>0</v>
      </c>
      <c r="DO5" s="68">
        <f>COUNTIF(Evaluation_obligat!X13:X42,"4B")</f>
        <v>0</v>
      </c>
      <c r="DP5" s="68">
        <f>COUNTIF(Evaluation_obligat!X13:X42,"4C")</f>
        <v>0</v>
      </c>
      <c r="DQ5" s="68">
        <f>COUNTIF(Evaluation_obligat!X13:X42,"4D")</f>
        <v>0</v>
      </c>
      <c r="DR5" s="68">
        <f>COUNTIF(Evaluation_obligat!X13:X42,"5")</f>
        <v>0</v>
      </c>
      <c r="DS5" s="68">
        <f>COUNTIF(Evaluation_obligat!Y13:Y42,"nein")</f>
        <v>0</v>
      </c>
      <c r="DT5" s="68">
        <f>COUNTIF(Evaluation_obligat!Y13:Y42,"aktiv (Rötung, Schwellung, Überwärmung)")</f>
        <v>0</v>
      </c>
      <c r="DU5" s="68">
        <f>COUNTIF(Evaluation_obligat!Y13:Y42,"aktiv mit Deformierung")</f>
        <v>0</v>
      </c>
      <c r="DV5" s="68">
        <f>COUNTIF(Evaluation_obligat!Y13:Y42,"inaktiv ohne Deformierung")</f>
        <v>0</v>
      </c>
      <c r="DW5" s="68">
        <f>COUNTIF(Evaluation_obligat!Y13:Y42,"inaktiv mit Deformierung")</f>
        <v>0</v>
      </c>
      <c r="DX5" s="68">
        <f>COUNTIF(Evaluation_obligat!Y13:Y42,"unklar")</f>
        <v>0</v>
      </c>
      <c r="DY5" s="68">
        <f>COUNTIF(Evaluation_obligat!Z13:Z42,"nein")</f>
        <v>0</v>
      </c>
      <c r="DZ5" s="68">
        <f>COUNTIF(Evaluation_obligat!Z13:Z42,"aktiv (Rötung, Schwellung, Überwärmung)")</f>
        <v>0</v>
      </c>
      <c r="EA5" s="68">
        <f>COUNTIF(Evaluation_obligat!Z13:Z42,"aktiv mit Deformierung")</f>
        <v>0</v>
      </c>
      <c r="EB5" s="68">
        <f>COUNTIF(Evaluation_obligat!Z13:Z42,"inaktiv ohne Deformierung")</f>
        <v>0</v>
      </c>
      <c r="EC5" s="68">
        <f>COUNTIF(Evaluation_obligat!Z13:Z42,"inaktiv mit Deformierung")</f>
        <v>0</v>
      </c>
      <c r="ED5" s="68">
        <f>COUNTIF(Evaluation_obligat!Z13:Z42,"unklar")</f>
        <v>0</v>
      </c>
      <c r="EE5" s="68">
        <f>COUNTIF(Evaluation_obligat!AA13:AA42,"ja")</f>
        <v>0</v>
      </c>
      <c r="EF5" s="68">
        <f>COUNTIF(Evaluation_obligat!AA13:AA42,"nein")</f>
        <v>0</v>
      </c>
      <c r="EG5" s="68">
        <f>COUNTIF(Evaluation_obligat!AA13:AA42,"unbekannt")</f>
        <v>0</v>
      </c>
      <c r="EH5" s="68">
        <f>COUNTIF(Evaluation_obligat!AB13:AB42,"ja")</f>
        <v>0</v>
      </c>
      <c r="EI5" s="68">
        <f>COUNTIF(Evaluation_obligat!AB13:AB42,"nein")</f>
        <v>0</v>
      </c>
    </row>
    <row r="8" spans="1:139" x14ac:dyDescent="0.25">
      <c r="AT8" s="5"/>
      <c r="AU8" s="5"/>
      <c r="AV8" s="5"/>
      <c r="AW8" s="5"/>
      <c r="AX8" s="5"/>
      <c r="AY8" s="5"/>
    </row>
    <row r="9" spans="1:139" x14ac:dyDescent="0.25">
      <c r="DS9" s="5"/>
      <c r="DT9" s="5"/>
      <c r="DU9" s="5"/>
      <c r="DV9" s="5"/>
      <c r="DW9" s="5"/>
      <c r="DX9" s="5"/>
    </row>
  </sheetData>
  <sheetProtection algorithmName="SHA-512" hashValue="JwugPQA1S0ZjtnActP+//euEdLWzftcYfgp58QAASF7J/TIBTqLWJqgGKsO4jiK0Y0hejwvSYqsqm/HY/R6OuQ==" saltValue="KVRTye2DqQB2d+j9ieqTyA==" spinCount="100000" sheet="1" objects="1" scenarios="1"/>
  <mergeCells count="22">
    <mergeCell ref="A3:A4"/>
    <mergeCell ref="C3:E3"/>
    <mergeCell ref="F3:I3"/>
    <mergeCell ref="CF3:CH3"/>
    <mergeCell ref="AB3:AS3"/>
    <mergeCell ref="AT3:AY3"/>
    <mergeCell ref="AZ3:BE3"/>
    <mergeCell ref="BF3:BH3"/>
    <mergeCell ref="BI3:BM3"/>
    <mergeCell ref="BN3:BQ3"/>
    <mergeCell ref="BR3:BU3"/>
    <mergeCell ref="BV3:BZ3"/>
    <mergeCell ref="EH3:EI3"/>
    <mergeCell ref="BF2:EI2"/>
    <mergeCell ref="CA3:CE3"/>
    <mergeCell ref="J3:AA3"/>
    <mergeCell ref="EE3:EG3"/>
    <mergeCell ref="F2:BE2"/>
    <mergeCell ref="CI3:CZ3"/>
    <mergeCell ref="DA3:DR3"/>
    <mergeCell ref="DS3:DX3"/>
    <mergeCell ref="DY3:ED3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50" zoomScaleNormal="150" workbookViewId="0">
      <selection activeCell="F2" sqref="F2:F7"/>
    </sheetView>
  </sheetViews>
  <sheetFormatPr baseColWidth="10" defaultRowHeight="15" x14ac:dyDescent="0.25"/>
  <cols>
    <col min="9" max="9" width="18.5703125" customWidth="1"/>
    <col min="11" max="11" width="26.28515625" customWidth="1"/>
  </cols>
  <sheetData>
    <row r="1" spans="1:13" x14ac:dyDescent="0.25">
      <c r="A1" s="6" t="s">
        <v>0</v>
      </c>
      <c r="B1" s="6" t="s">
        <v>19</v>
      </c>
      <c r="C1" s="6" t="s">
        <v>44</v>
      </c>
      <c r="D1" s="6" t="s">
        <v>72</v>
      </c>
      <c r="E1" s="6"/>
      <c r="F1" s="6" t="s">
        <v>43</v>
      </c>
      <c r="G1" s="6" t="s">
        <v>45</v>
      </c>
      <c r="H1" s="6" t="s">
        <v>49</v>
      </c>
      <c r="I1" s="6" t="s">
        <v>50</v>
      </c>
      <c r="J1" s="6" t="s">
        <v>57</v>
      </c>
      <c r="K1" s="6" t="s">
        <v>141</v>
      </c>
      <c r="L1" s="6" t="s">
        <v>144</v>
      </c>
      <c r="M1" s="6"/>
    </row>
    <row r="2" spans="1:13" x14ac:dyDescent="0.25">
      <c r="A2" t="s">
        <v>23</v>
      </c>
      <c r="B2" t="s">
        <v>36</v>
      </c>
      <c r="C2" t="s">
        <v>11</v>
      </c>
      <c r="D2" s="7">
        <v>0</v>
      </c>
      <c r="F2" s="5" t="s">
        <v>12</v>
      </c>
      <c r="G2" t="s">
        <v>46</v>
      </c>
      <c r="H2" t="s">
        <v>12</v>
      </c>
      <c r="I2" t="s">
        <v>12</v>
      </c>
      <c r="J2" t="s">
        <v>11</v>
      </c>
      <c r="K2" t="s">
        <v>137</v>
      </c>
      <c r="L2" s="77" t="s">
        <v>12</v>
      </c>
    </row>
    <row r="3" spans="1:13" x14ac:dyDescent="0.25">
      <c r="A3" t="s">
        <v>24</v>
      </c>
      <c r="B3" t="s">
        <v>37</v>
      </c>
      <c r="C3" t="s">
        <v>12</v>
      </c>
      <c r="D3" s="7" t="s">
        <v>73</v>
      </c>
      <c r="F3" s="5" t="s">
        <v>39</v>
      </c>
      <c r="G3" t="s">
        <v>47</v>
      </c>
      <c r="H3" t="s">
        <v>51</v>
      </c>
      <c r="I3" t="s">
        <v>54</v>
      </c>
      <c r="J3" t="s">
        <v>12</v>
      </c>
      <c r="K3" t="s">
        <v>138</v>
      </c>
      <c r="L3" t="s">
        <v>145</v>
      </c>
    </row>
    <row r="4" spans="1:13" x14ac:dyDescent="0.25">
      <c r="A4" t="s">
        <v>8</v>
      </c>
      <c r="B4" t="s">
        <v>38</v>
      </c>
      <c r="C4" t="s">
        <v>13</v>
      </c>
      <c r="D4" s="7" t="s">
        <v>74</v>
      </c>
      <c r="F4" s="5" t="s">
        <v>135</v>
      </c>
      <c r="G4" t="s">
        <v>48</v>
      </c>
      <c r="H4" t="s">
        <v>52</v>
      </c>
      <c r="I4" t="s">
        <v>55</v>
      </c>
      <c r="J4" t="s">
        <v>42</v>
      </c>
      <c r="K4" t="s">
        <v>139</v>
      </c>
      <c r="L4" t="s">
        <v>146</v>
      </c>
    </row>
    <row r="5" spans="1:13" x14ac:dyDescent="0.25">
      <c r="A5" t="s">
        <v>9</v>
      </c>
      <c r="D5" s="7" t="s">
        <v>75</v>
      </c>
      <c r="F5" s="5" t="s">
        <v>40</v>
      </c>
      <c r="G5" t="s">
        <v>13</v>
      </c>
      <c r="H5" t="s">
        <v>53</v>
      </c>
      <c r="I5" t="s">
        <v>148</v>
      </c>
      <c r="K5" t="s">
        <v>58</v>
      </c>
      <c r="L5" t="s">
        <v>13</v>
      </c>
    </row>
    <row r="6" spans="1:13" x14ac:dyDescent="0.25">
      <c r="A6" t="s">
        <v>10</v>
      </c>
      <c r="D6" s="7" t="s">
        <v>76</v>
      </c>
      <c r="F6" s="5" t="s">
        <v>41</v>
      </c>
      <c r="I6" t="s">
        <v>149</v>
      </c>
      <c r="K6" t="s">
        <v>140</v>
      </c>
    </row>
    <row r="7" spans="1:13" x14ac:dyDescent="0.25">
      <c r="A7" t="s">
        <v>25</v>
      </c>
      <c r="D7" s="7" t="s">
        <v>77</v>
      </c>
      <c r="F7" s="5" t="s">
        <v>42</v>
      </c>
      <c r="I7" s="82"/>
    </row>
    <row r="8" spans="1:13" x14ac:dyDescent="0.25">
      <c r="A8" t="s">
        <v>26</v>
      </c>
      <c r="D8" s="7" t="s">
        <v>82</v>
      </c>
      <c r="F8" s="5"/>
    </row>
    <row r="9" spans="1:13" x14ac:dyDescent="0.25">
      <c r="A9" t="s">
        <v>27</v>
      </c>
      <c r="D9" s="7" t="s">
        <v>83</v>
      </c>
    </row>
    <row r="10" spans="1:13" x14ac:dyDescent="0.25">
      <c r="A10" t="s">
        <v>28</v>
      </c>
      <c r="D10" s="7" t="s">
        <v>84</v>
      </c>
    </row>
    <row r="11" spans="1:13" x14ac:dyDescent="0.25">
      <c r="A11" t="s">
        <v>29</v>
      </c>
      <c r="D11" s="7" t="s">
        <v>78</v>
      </c>
    </row>
    <row r="12" spans="1:13" x14ac:dyDescent="0.25">
      <c r="A12" t="s">
        <v>30</v>
      </c>
      <c r="D12" s="7" t="s">
        <v>85</v>
      </c>
    </row>
    <row r="13" spans="1:13" x14ac:dyDescent="0.25">
      <c r="A13" t="s">
        <v>31</v>
      </c>
      <c r="D13" s="7" t="s">
        <v>86</v>
      </c>
    </row>
    <row r="14" spans="1:13" x14ac:dyDescent="0.25">
      <c r="A14" t="s">
        <v>32</v>
      </c>
      <c r="D14" s="7" t="s">
        <v>87</v>
      </c>
    </row>
    <row r="15" spans="1:13" x14ac:dyDescent="0.25">
      <c r="A15" t="s">
        <v>33</v>
      </c>
      <c r="D15" s="7" t="s">
        <v>79</v>
      </c>
    </row>
    <row r="16" spans="1:13" x14ac:dyDescent="0.25">
      <c r="A16" t="s">
        <v>34</v>
      </c>
      <c r="D16" s="7" t="s">
        <v>88</v>
      </c>
    </row>
    <row r="17" spans="1:4" x14ac:dyDescent="0.25">
      <c r="A17" t="s">
        <v>35</v>
      </c>
      <c r="D17" s="7" t="s">
        <v>89</v>
      </c>
    </row>
    <row r="18" spans="1:4" x14ac:dyDescent="0.25">
      <c r="D18" s="7" t="s">
        <v>90</v>
      </c>
    </row>
    <row r="19" spans="1:4" x14ac:dyDescent="0.25">
      <c r="D19" s="7">
        <v>5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Evaluation_obligat</vt:lpstr>
      <vt:lpstr>Auswertung</vt:lpstr>
      <vt:lpstr>DropDown</vt:lpstr>
      <vt:lpstr>Evaluation_obligat!Abfrage</vt:lpstr>
      <vt:lpstr>Evaluation_obligat!Bundesland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Schugardt</dc:creator>
  <cp:lastModifiedBy>Monique Schugardt</cp:lastModifiedBy>
  <cp:lastPrinted>2023-09-21T11:31:13Z</cp:lastPrinted>
  <dcterms:created xsi:type="dcterms:W3CDTF">2023-08-24T11:12:28Z</dcterms:created>
  <dcterms:modified xsi:type="dcterms:W3CDTF">2024-03-12T11:42:28Z</dcterms:modified>
</cp:coreProperties>
</file>